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CA\koordynator\koordynowanie_turnusy\Koordynacja_2020_2021\Zbiorcze\"/>
    </mc:Choice>
  </mc:AlternateContent>
  <bookViews>
    <workbookView xWindow="0" yWindow="0" windowWidth="19200" windowHeight="7605"/>
  </bookViews>
  <sheets>
    <sheet name="1 stopień 20_21" sheetId="6" r:id="rId1"/>
    <sheet name="2 stopień 20_21" sheetId="1" r:id="rId2"/>
    <sheet name="3 stopień 20_21" sheetId="2" r:id="rId3"/>
    <sheet name="zestawienie_1" sheetId="7" r:id="rId4"/>
    <sheet name="zestawienie_2" sheetId="3" r:id="rId5"/>
    <sheet name="zestawienie_3" sheetId="4" r:id="rId6"/>
    <sheet name="Dane BSI" sheetId="5" r:id="rId7"/>
    <sheet name="BS_1_dziedzinowe" sheetId="9" r:id="rId8"/>
    <sheet name="BS_1 zestawienie" sheetId="8" r:id="rId9"/>
  </sheets>
  <definedNames>
    <definedName name="_xlnm._FilterDatabase" localSheetId="0" hidden="1">'1 stopień 20_21'!$C$7:$K$579</definedName>
    <definedName name="_xlnm._FilterDatabase" localSheetId="1" hidden="1">'2 stopień 20_21'!$B$8:$R$604</definedName>
    <definedName name="_xlnm._FilterDatabase" localSheetId="2" hidden="1">'3 stopień 20_21'!$B$7:$Q$419</definedName>
    <definedName name="_xlnm._FilterDatabase" localSheetId="8" hidden="1">'BS_1 zestawienie'!$A$1:$F$113</definedName>
    <definedName name="_xlnm._FilterDatabase" localSheetId="6" hidden="1">'Dane BSI'!$B$1:$I$59</definedName>
    <definedName name="_xlnm._FilterDatabase" localSheetId="3" hidden="1">zestawienie_1!$A$5:$AG$103</definedName>
    <definedName name="_xlnm._FilterDatabase" localSheetId="4" hidden="1">zestawienie_2!$A$5:$AF$102</definedName>
    <definedName name="_xlnm._FilterDatabase" localSheetId="5" hidden="1">zestawienie_3!$B$5:$AB$84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2" i="7" l="1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6" i="7"/>
  <c r="H7" i="4" l="1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6" i="4"/>
  <c r="AD100" i="3" l="1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102" i="3" l="1"/>
  <c r="AC100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102" i="3" l="1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6" i="7"/>
  <c r="AB102" i="3" l="1"/>
  <c r="AA84" i="4"/>
  <c r="AD102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6" i="7"/>
  <c r="AC102" i="7" l="1"/>
  <c r="N66" i="7"/>
  <c r="F6" i="7"/>
  <c r="Z7" i="7" l="1"/>
  <c r="AA7" i="7"/>
  <c r="AB7" i="7"/>
  <c r="AF7" i="7"/>
  <c r="Z8" i="7"/>
  <c r="AA8" i="7"/>
  <c r="AB8" i="7"/>
  <c r="AF8" i="7"/>
  <c r="Z9" i="7"/>
  <c r="AA9" i="7"/>
  <c r="AB9" i="7"/>
  <c r="AF9" i="7"/>
  <c r="Z10" i="7"/>
  <c r="AA10" i="7"/>
  <c r="AB10" i="7"/>
  <c r="AF10" i="7"/>
  <c r="Z11" i="7"/>
  <c r="AA11" i="7"/>
  <c r="AB11" i="7"/>
  <c r="AF11" i="7"/>
  <c r="Z12" i="7"/>
  <c r="AA12" i="7"/>
  <c r="AB12" i="7"/>
  <c r="AF12" i="7"/>
  <c r="Z13" i="7"/>
  <c r="AA13" i="7"/>
  <c r="AB13" i="7"/>
  <c r="AF13" i="7"/>
  <c r="Z14" i="7"/>
  <c r="AA14" i="7"/>
  <c r="AB14" i="7"/>
  <c r="AF14" i="7"/>
  <c r="Z15" i="7"/>
  <c r="AA15" i="7"/>
  <c r="AB15" i="7"/>
  <c r="AF15" i="7"/>
  <c r="Z16" i="7"/>
  <c r="AA16" i="7"/>
  <c r="AB16" i="7"/>
  <c r="AF16" i="7"/>
  <c r="Z17" i="7"/>
  <c r="AA17" i="7"/>
  <c r="AB17" i="7"/>
  <c r="AF17" i="7"/>
  <c r="Z18" i="7"/>
  <c r="AA18" i="7"/>
  <c r="AB18" i="7"/>
  <c r="AF18" i="7"/>
  <c r="Z19" i="7"/>
  <c r="AA19" i="7"/>
  <c r="AB19" i="7"/>
  <c r="AF19" i="7"/>
  <c r="Z20" i="7"/>
  <c r="AA20" i="7"/>
  <c r="AB20" i="7"/>
  <c r="AF20" i="7"/>
  <c r="Z21" i="7"/>
  <c r="AA21" i="7"/>
  <c r="AB21" i="7"/>
  <c r="AF21" i="7"/>
  <c r="Z22" i="7"/>
  <c r="AA22" i="7"/>
  <c r="AB22" i="7"/>
  <c r="AF22" i="7"/>
  <c r="Z23" i="7"/>
  <c r="AA23" i="7"/>
  <c r="AB23" i="7"/>
  <c r="AF23" i="7"/>
  <c r="Z24" i="7"/>
  <c r="AA24" i="7"/>
  <c r="AB24" i="7"/>
  <c r="AF24" i="7"/>
  <c r="Z25" i="7"/>
  <c r="AA25" i="7"/>
  <c r="AB25" i="7"/>
  <c r="AF25" i="7"/>
  <c r="Z26" i="7"/>
  <c r="AA26" i="7"/>
  <c r="AB26" i="7"/>
  <c r="AF26" i="7"/>
  <c r="Z27" i="7"/>
  <c r="AA27" i="7"/>
  <c r="AB27" i="7"/>
  <c r="AF27" i="7"/>
  <c r="Z28" i="7"/>
  <c r="AA28" i="7"/>
  <c r="AB28" i="7"/>
  <c r="AF28" i="7"/>
  <c r="Z29" i="7"/>
  <c r="AA29" i="7"/>
  <c r="AB29" i="7"/>
  <c r="AF29" i="7"/>
  <c r="Z30" i="7"/>
  <c r="AA30" i="7"/>
  <c r="AB30" i="7"/>
  <c r="AF30" i="7"/>
  <c r="Z31" i="7"/>
  <c r="AA31" i="7"/>
  <c r="AB31" i="7"/>
  <c r="AF31" i="7"/>
  <c r="Z32" i="7"/>
  <c r="AA32" i="7"/>
  <c r="AB32" i="7"/>
  <c r="AF32" i="7"/>
  <c r="Z33" i="7"/>
  <c r="AA33" i="7"/>
  <c r="AB33" i="7"/>
  <c r="AF33" i="7"/>
  <c r="Z34" i="7"/>
  <c r="AA34" i="7"/>
  <c r="AB34" i="7"/>
  <c r="AF34" i="7"/>
  <c r="Z35" i="7"/>
  <c r="AA35" i="7"/>
  <c r="AB35" i="7"/>
  <c r="AF35" i="7"/>
  <c r="Z36" i="7"/>
  <c r="AA36" i="7"/>
  <c r="AB36" i="7"/>
  <c r="AF36" i="7"/>
  <c r="Z37" i="7"/>
  <c r="AA37" i="7"/>
  <c r="AB37" i="7"/>
  <c r="AF37" i="7"/>
  <c r="Z38" i="7"/>
  <c r="AA38" i="7"/>
  <c r="AB38" i="7"/>
  <c r="AF38" i="7"/>
  <c r="Z39" i="7"/>
  <c r="AA39" i="7"/>
  <c r="AB39" i="7"/>
  <c r="AF39" i="7"/>
  <c r="Z40" i="7"/>
  <c r="AA40" i="7"/>
  <c r="AB40" i="7"/>
  <c r="AF40" i="7"/>
  <c r="Z41" i="7"/>
  <c r="AA41" i="7"/>
  <c r="AB41" i="7"/>
  <c r="AF41" i="7"/>
  <c r="Z42" i="7"/>
  <c r="AA42" i="7"/>
  <c r="AB42" i="7"/>
  <c r="AF42" i="7"/>
  <c r="Z43" i="7"/>
  <c r="AA43" i="7"/>
  <c r="AB43" i="7"/>
  <c r="AF43" i="7"/>
  <c r="Z44" i="7"/>
  <c r="AA44" i="7"/>
  <c r="AB44" i="7"/>
  <c r="AF44" i="7"/>
  <c r="Z45" i="7"/>
  <c r="AA45" i="7"/>
  <c r="AB45" i="7"/>
  <c r="AF45" i="7"/>
  <c r="Z46" i="7"/>
  <c r="AA46" i="7"/>
  <c r="AB46" i="7"/>
  <c r="AF46" i="7"/>
  <c r="Z47" i="7"/>
  <c r="AA47" i="7"/>
  <c r="AB47" i="7"/>
  <c r="AF47" i="7"/>
  <c r="Z48" i="7"/>
  <c r="AA48" i="7"/>
  <c r="AB48" i="7"/>
  <c r="AF48" i="7"/>
  <c r="Z49" i="7"/>
  <c r="AA49" i="7"/>
  <c r="AB49" i="7"/>
  <c r="AF49" i="7"/>
  <c r="Z50" i="7"/>
  <c r="AA50" i="7"/>
  <c r="AB50" i="7"/>
  <c r="AF50" i="7"/>
  <c r="Z51" i="7"/>
  <c r="AA51" i="7"/>
  <c r="AB51" i="7"/>
  <c r="AF51" i="7"/>
  <c r="Z52" i="7"/>
  <c r="AA52" i="7"/>
  <c r="AB52" i="7"/>
  <c r="AF52" i="7"/>
  <c r="Z53" i="7"/>
  <c r="AA53" i="7"/>
  <c r="AB53" i="7"/>
  <c r="AF53" i="7"/>
  <c r="Z54" i="7"/>
  <c r="AA54" i="7"/>
  <c r="AB54" i="7"/>
  <c r="AF54" i="7"/>
  <c r="Z55" i="7"/>
  <c r="AA55" i="7"/>
  <c r="AB55" i="7"/>
  <c r="AF55" i="7"/>
  <c r="Z56" i="7"/>
  <c r="AA56" i="7"/>
  <c r="AB56" i="7"/>
  <c r="AF56" i="7"/>
  <c r="Z57" i="7"/>
  <c r="AA57" i="7"/>
  <c r="AB57" i="7"/>
  <c r="AF57" i="7"/>
  <c r="Z58" i="7"/>
  <c r="AA58" i="7"/>
  <c r="AB58" i="7"/>
  <c r="AF58" i="7"/>
  <c r="Z59" i="7"/>
  <c r="AA59" i="7"/>
  <c r="AB59" i="7"/>
  <c r="AF59" i="7"/>
  <c r="Z60" i="7"/>
  <c r="AA60" i="7"/>
  <c r="AB60" i="7"/>
  <c r="AF60" i="7"/>
  <c r="Z61" i="7"/>
  <c r="AA61" i="7"/>
  <c r="AB61" i="7"/>
  <c r="AF61" i="7"/>
  <c r="Z62" i="7"/>
  <c r="AA62" i="7"/>
  <c r="AB62" i="7"/>
  <c r="AF62" i="7"/>
  <c r="Z63" i="7"/>
  <c r="AA63" i="7"/>
  <c r="AB63" i="7"/>
  <c r="AF63" i="7"/>
  <c r="Z64" i="7"/>
  <c r="AA64" i="7"/>
  <c r="AB64" i="7"/>
  <c r="AF64" i="7"/>
  <c r="Z65" i="7"/>
  <c r="AA65" i="7"/>
  <c r="AB65" i="7"/>
  <c r="AF65" i="7"/>
  <c r="Z66" i="7"/>
  <c r="AA66" i="7"/>
  <c r="AB66" i="7"/>
  <c r="AF66" i="7"/>
  <c r="Z67" i="7"/>
  <c r="AA67" i="7"/>
  <c r="AB67" i="7"/>
  <c r="AF67" i="7"/>
  <c r="Z68" i="7"/>
  <c r="AA68" i="7"/>
  <c r="AB68" i="7"/>
  <c r="AF68" i="7"/>
  <c r="Z69" i="7"/>
  <c r="AA69" i="7"/>
  <c r="AB69" i="7"/>
  <c r="AF69" i="7"/>
  <c r="Z70" i="7"/>
  <c r="AA70" i="7"/>
  <c r="AB70" i="7"/>
  <c r="AF70" i="7"/>
  <c r="Z71" i="7"/>
  <c r="AA71" i="7"/>
  <c r="AB71" i="7"/>
  <c r="AF71" i="7"/>
  <c r="Z72" i="7"/>
  <c r="AA72" i="7"/>
  <c r="AB72" i="7"/>
  <c r="AF72" i="7"/>
  <c r="Z73" i="7"/>
  <c r="AA73" i="7"/>
  <c r="AB73" i="7"/>
  <c r="AF73" i="7"/>
  <c r="Z74" i="7"/>
  <c r="AA74" i="7"/>
  <c r="AB74" i="7"/>
  <c r="AF74" i="7"/>
  <c r="Z75" i="7"/>
  <c r="AA75" i="7"/>
  <c r="AB75" i="7"/>
  <c r="AF75" i="7"/>
  <c r="Z76" i="7"/>
  <c r="AA76" i="7"/>
  <c r="AB76" i="7"/>
  <c r="AF76" i="7"/>
  <c r="Z77" i="7"/>
  <c r="AA77" i="7"/>
  <c r="AB77" i="7"/>
  <c r="AF77" i="7"/>
  <c r="Z78" i="7"/>
  <c r="AA78" i="7"/>
  <c r="AB78" i="7"/>
  <c r="AF78" i="7"/>
  <c r="Z79" i="7"/>
  <c r="AA79" i="7"/>
  <c r="AB79" i="7"/>
  <c r="AF79" i="7"/>
  <c r="Z80" i="7"/>
  <c r="AA80" i="7"/>
  <c r="AB80" i="7"/>
  <c r="AF80" i="7"/>
  <c r="Z81" i="7"/>
  <c r="AA81" i="7"/>
  <c r="AB81" i="7"/>
  <c r="AF81" i="7"/>
  <c r="Z82" i="7"/>
  <c r="AA82" i="7"/>
  <c r="AB82" i="7"/>
  <c r="AF82" i="7"/>
  <c r="Z83" i="7"/>
  <c r="AA83" i="7"/>
  <c r="AB83" i="7"/>
  <c r="AF83" i="7"/>
  <c r="Z84" i="7"/>
  <c r="AA84" i="7"/>
  <c r="AB84" i="7"/>
  <c r="AF84" i="7"/>
  <c r="Z85" i="7"/>
  <c r="AA85" i="7"/>
  <c r="AB85" i="7"/>
  <c r="AF85" i="7"/>
  <c r="Z86" i="7"/>
  <c r="AA86" i="7"/>
  <c r="AB86" i="7"/>
  <c r="AF86" i="7"/>
  <c r="Z87" i="7"/>
  <c r="AA87" i="7"/>
  <c r="AB87" i="7"/>
  <c r="AF87" i="7"/>
  <c r="Z88" i="7"/>
  <c r="AA88" i="7"/>
  <c r="AB88" i="7"/>
  <c r="AF88" i="7"/>
  <c r="Z89" i="7"/>
  <c r="AA89" i="7"/>
  <c r="AB89" i="7"/>
  <c r="AF89" i="7"/>
  <c r="Z90" i="7"/>
  <c r="AA90" i="7"/>
  <c r="AB90" i="7"/>
  <c r="AF90" i="7"/>
  <c r="Z91" i="7"/>
  <c r="AA91" i="7"/>
  <c r="AB91" i="7"/>
  <c r="AF91" i="7"/>
  <c r="Z92" i="7"/>
  <c r="AA92" i="7"/>
  <c r="AB92" i="7"/>
  <c r="AF92" i="7"/>
  <c r="Z93" i="7"/>
  <c r="AA93" i="7"/>
  <c r="AB93" i="7"/>
  <c r="AF93" i="7"/>
  <c r="Z94" i="7"/>
  <c r="AA94" i="7"/>
  <c r="AB94" i="7"/>
  <c r="AF94" i="7"/>
  <c r="Z95" i="7"/>
  <c r="AA95" i="7"/>
  <c r="AB95" i="7"/>
  <c r="AF95" i="7"/>
  <c r="Z96" i="7"/>
  <c r="AA96" i="7"/>
  <c r="AB96" i="7"/>
  <c r="AF96" i="7"/>
  <c r="Z97" i="7"/>
  <c r="AA97" i="7"/>
  <c r="AB97" i="7"/>
  <c r="AF97" i="7"/>
  <c r="Z98" i="7"/>
  <c r="AA98" i="7"/>
  <c r="AB98" i="7"/>
  <c r="AF98" i="7"/>
  <c r="Z99" i="7"/>
  <c r="AA99" i="7"/>
  <c r="AB99" i="7"/>
  <c r="AF99" i="7"/>
  <c r="Z100" i="7"/>
  <c r="AA100" i="7"/>
  <c r="AB100" i="7"/>
  <c r="AF100" i="7"/>
  <c r="AF6" i="7"/>
  <c r="AA6" i="7"/>
  <c r="Z6" i="7"/>
  <c r="AB6" i="7"/>
  <c r="G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G66" i="7"/>
  <c r="H66" i="7"/>
  <c r="I66" i="7"/>
  <c r="J66" i="7"/>
  <c r="K66" i="7"/>
  <c r="L66" i="7"/>
  <c r="M66" i="7"/>
  <c r="O66" i="7"/>
  <c r="P66" i="7"/>
  <c r="Q66" i="7"/>
  <c r="R66" i="7"/>
  <c r="S66" i="7"/>
  <c r="T66" i="7"/>
  <c r="U66" i="7"/>
  <c r="V66" i="7"/>
  <c r="W66" i="7"/>
  <c r="X66" i="7"/>
  <c r="Y66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G68" i="7"/>
  <c r="H68" i="7"/>
  <c r="I68" i="7"/>
  <c r="J68" i="7"/>
  <c r="K68" i="7"/>
  <c r="L68" i="7"/>
  <c r="M68" i="7"/>
  <c r="N68" i="7"/>
  <c r="O68" i="7"/>
  <c r="Y68" i="7" s="1"/>
  <c r="P68" i="7"/>
  <c r="Q68" i="7"/>
  <c r="R68" i="7"/>
  <c r="S68" i="7"/>
  <c r="T68" i="7"/>
  <c r="U68" i="7"/>
  <c r="V68" i="7"/>
  <c r="W68" i="7"/>
  <c r="X68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AB102" i="7" l="1"/>
  <c r="B1" i="7"/>
  <c r="F6" i="3"/>
  <c r="AG11" i="7" l="1"/>
  <c r="AG15" i="7"/>
  <c r="AG71" i="7"/>
  <c r="AG75" i="7"/>
  <c r="AG79" i="7"/>
  <c r="AG83" i="7"/>
  <c r="AG87" i="7"/>
  <c r="AG91" i="7"/>
  <c r="AG95" i="7"/>
  <c r="AG7" i="7"/>
  <c r="AG19" i="7"/>
  <c r="AG23" i="7"/>
  <c r="AG27" i="7"/>
  <c r="AG31" i="7"/>
  <c r="AG35" i="7"/>
  <c r="AG39" i="7"/>
  <c r="AG43" i="7"/>
  <c r="AG47" i="7"/>
  <c r="AG51" i="7"/>
  <c r="AG55" i="7"/>
  <c r="AG59" i="7"/>
  <c r="AG63" i="7"/>
  <c r="AG67" i="7"/>
  <c r="AG20" i="7"/>
  <c r="AG24" i="7"/>
  <c r="AG28" i="7"/>
  <c r="AG32" i="7"/>
  <c r="AG36" i="7"/>
  <c r="AG40" i="7"/>
  <c r="AG44" i="7"/>
  <c r="AG48" i="7"/>
  <c r="AG52" i="7"/>
  <c r="AG56" i="7"/>
  <c r="AG60" i="7"/>
  <c r="AG64" i="7"/>
  <c r="AG68" i="7"/>
  <c r="AG72" i="7"/>
  <c r="AG76" i="7"/>
  <c r="AG80" i="7"/>
  <c r="AG84" i="7"/>
  <c r="AG88" i="7"/>
  <c r="AG92" i="7"/>
  <c r="AG18" i="7"/>
  <c r="AG22" i="7"/>
  <c r="AG26" i="7"/>
  <c r="AG30" i="7"/>
  <c r="AG34" i="7"/>
  <c r="AG38" i="7"/>
  <c r="AG42" i="7"/>
  <c r="AG46" i="7"/>
  <c r="AG50" i="7"/>
  <c r="AG54" i="7"/>
  <c r="AG58" i="7"/>
  <c r="AG62" i="7"/>
  <c r="AG66" i="7"/>
  <c r="L102" i="7"/>
  <c r="AG96" i="7"/>
  <c r="AG100" i="7"/>
  <c r="I102" i="7"/>
  <c r="J102" i="7"/>
  <c r="H102" i="7"/>
  <c r="AG9" i="7"/>
  <c r="AG13" i="7"/>
  <c r="AG17" i="7"/>
  <c r="AG21" i="7"/>
  <c r="AG33" i="7"/>
  <c r="AG53" i="7"/>
  <c r="AG57" i="7"/>
  <c r="AG61" i="7"/>
  <c r="AG65" i="7"/>
  <c r="AG69" i="7"/>
  <c r="AG73" i="7"/>
  <c r="AG74" i="7"/>
  <c r="AG77" i="7"/>
  <c r="AG78" i="7"/>
  <c r="AG81" i="7"/>
  <c r="AG82" i="7"/>
  <c r="AG85" i="7"/>
  <c r="AG86" i="7"/>
  <c r="AG89" i="7"/>
  <c r="AG90" i="7"/>
  <c r="AG93" i="7"/>
  <c r="AG97" i="7"/>
  <c r="AG25" i="7"/>
  <c r="AG29" i="7"/>
  <c r="AG37" i="7"/>
  <c r="AG41" i="7"/>
  <c r="AG45" i="7"/>
  <c r="AG49" i="7"/>
  <c r="AG70" i="7"/>
  <c r="AG8" i="7"/>
  <c r="AG12" i="7"/>
  <c r="AG16" i="7"/>
  <c r="N102" i="7"/>
  <c r="K102" i="7"/>
  <c r="AG99" i="7"/>
  <c r="G102" i="7"/>
  <c r="AG94" i="7"/>
  <c r="AG98" i="7"/>
  <c r="AG10" i="7"/>
  <c r="AG14" i="7"/>
  <c r="F5" i="7"/>
  <c r="I6" i="6"/>
  <c r="E2" i="6"/>
  <c r="M102" i="7" l="1"/>
  <c r="O102" i="7"/>
  <c r="R102" i="7"/>
  <c r="P102" i="7"/>
  <c r="Q102" i="7"/>
  <c r="U102" i="7"/>
  <c r="C42" i="5"/>
  <c r="D42" i="5"/>
  <c r="C41" i="5"/>
  <c r="D41" i="5"/>
  <c r="C50" i="5"/>
  <c r="D50" i="5"/>
  <c r="C5" i="5"/>
  <c r="D5" i="5"/>
  <c r="C59" i="5"/>
  <c r="D59" i="5"/>
  <c r="C18" i="5"/>
  <c r="D18" i="5"/>
  <c r="C58" i="5"/>
  <c r="D58" i="5"/>
  <c r="C30" i="5"/>
  <c r="D30" i="5"/>
  <c r="C34" i="5"/>
  <c r="D34" i="5"/>
  <c r="C49" i="5"/>
  <c r="D49" i="5"/>
  <c r="D55" i="5"/>
  <c r="C55" i="5"/>
  <c r="C22" i="5"/>
  <c r="D22" i="5"/>
  <c r="C51" i="5"/>
  <c r="D51" i="5"/>
  <c r="C19" i="5"/>
  <c r="D19" i="5"/>
  <c r="C27" i="5"/>
  <c r="D27" i="5"/>
  <c r="C46" i="5"/>
  <c r="D46" i="5"/>
  <c r="C40" i="5"/>
  <c r="D40" i="5"/>
  <c r="C13" i="5"/>
  <c r="D13" i="5"/>
  <c r="C31" i="5"/>
  <c r="D31" i="5"/>
  <c r="C35" i="5"/>
  <c r="D35" i="5"/>
  <c r="C52" i="5"/>
  <c r="D52" i="5"/>
  <c r="C29" i="5"/>
  <c r="D29" i="5"/>
  <c r="C2" i="5"/>
  <c r="D2" i="5"/>
  <c r="C48" i="5"/>
  <c r="D48" i="5"/>
  <c r="C14" i="5"/>
  <c r="D14" i="5"/>
  <c r="C36" i="5"/>
  <c r="D36" i="5"/>
  <c r="C47" i="5"/>
  <c r="D47" i="5"/>
  <c r="C9" i="5"/>
  <c r="D9" i="5"/>
  <c r="C43" i="5"/>
  <c r="D43" i="5"/>
  <c r="C38" i="5"/>
  <c r="D38" i="5"/>
  <c r="C15" i="5"/>
  <c r="D15" i="5"/>
  <c r="C26" i="5"/>
  <c r="D26" i="5"/>
  <c r="C10" i="5"/>
  <c r="D10" i="5"/>
  <c r="C54" i="5"/>
  <c r="D54" i="5"/>
  <c r="C32" i="5"/>
  <c r="D32" i="5"/>
  <c r="C23" i="5"/>
  <c r="D23" i="5"/>
  <c r="C11" i="5"/>
  <c r="D11" i="5"/>
  <c r="C17" i="5"/>
  <c r="D17" i="5"/>
  <c r="C25" i="5"/>
  <c r="D25" i="5"/>
  <c r="C12" i="5"/>
  <c r="D12" i="5"/>
  <c r="C20" i="5"/>
  <c r="D20" i="5"/>
  <c r="C39" i="5"/>
  <c r="D39" i="5"/>
  <c r="C53" i="5"/>
  <c r="D53" i="5"/>
  <c r="C4" i="5"/>
  <c r="D4" i="5"/>
  <c r="C7" i="5"/>
  <c r="D7" i="5"/>
  <c r="C8" i="5"/>
  <c r="D8" i="5"/>
  <c r="C16" i="5"/>
  <c r="D16" i="5"/>
  <c r="C3" i="5"/>
  <c r="D3" i="5"/>
  <c r="C37" i="5"/>
  <c r="D37" i="5"/>
  <c r="C28" i="5"/>
  <c r="D28" i="5"/>
  <c r="C44" i="5"/>
  <c r="D44" i="5"/>
  <c r="C21" i="5"/>
  <c r="D21" i="5"/>
  <c r="C33" i="5"/>
  <c r="D33" i="5"/>
  <c r="C24" i="5"/>
  <c r="D24" i="5"/>
  <c r="C6" i="5"/>
  <c r="D6" i="5"/>
  <c r="C56" i="5"/>
  <c r="D56" i="5"/>
  <c r="C57" i="5"/>
  <c r="D57" i="5"/>
  <c r="S102" i="7" l="1"/>
  <c r="X102" i="7"/>
  <c r="AA102" i="7"/>
  <c r="T102" i="7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V102" i="7" l="1"/>
  <c r="Z102" i="7"/>
  <c r="W102" i="7"/>
  <c r="AA102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Y102" i="7" l="1"/>
  <c r="AF102" i="7"/>
  <c r="Z102" i="3"/>
  <c r="Z84" i="4"/>
  <c r="Y7" i="3"/>
  <c r="I6" i="1"/>
  <c r="F6" i="4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6" i="3"/>
  <c r="I84" i="4"/>
  <c r="I6" i="2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B1" i="4"/>
  <c r="B1" i="3"/>
  <c r="E2" i="1"/>
  <c r="E2" i="2"/>
  <c r="AG3" i="7" l="1"/>
  <c r="AG6" i="7"/>
  <c r="AG101" i="7" s="1"/>
  <c r="Y102" i="3"/>
  <c r="H84" i="4"/>
  <c r="K84" i="4"/>
  <c r="M84" i="4"/>
  <c r="O84" i="4"/>
  <c r="Q84" i="4"/>
  <c r="S84" i="4"/>
  <c r="U84" i="4"/>
  <c r="W84" i="4"/>
  <c r="AB84" i="4"/>
  <c r="J84" i="4"/>
  <c r="L84" i="4"/>
  <c r="N84" i="4"/>
  <c r="P84" i="4"/>
  <c r="R84" i="4"/>
  <c r="T84" i="4"/>
  <c r="V84" i="4"/>
  <c r="X84" i="4"/>
  <c r="G84" i="4"/>
  <c r="Y84" i="4"/>
  <c r="AC6" i="4"/>
  <c r="AE9" i="3"/>
  <c r="F88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E100" i="3"/>
  <c r="X100" i="3"/>
  <c r="W100" i="3"/>
  <c r="V100" i="3"/>
  <c r="U100" i="3"/>
  <c r="T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AE99" i="3"/>
  <c r="X99" i="3"/>
  <c r="W99" i="3"/>
  <c r="V99" i="3"/>
  <c r="U99" i="3"/>
  <c r="T99" i="3"/>
  <c r="R99" i="3"/>
  <c r="Q99" i="3"/>
  <c r="P99" i="3"/>
  <c r="O99" i="3"/>
  <c r="N99" i="3"/>
  <c r="M99" i="3"/>
  <c r="L99" i="3"/>
  <c r="K99" i="3"/>
  <c r="J99" i="3"/>
  <c r="I99" i="3"/>
  <c r="H99" i="3"/>
  <c r="G99" i="3"/>
  <c r="AE98" i="3"/>
  <c r="X98" i="3"/>
  <c r="W98" i="3"/>
  <c r="V98" i="3"/>
  <c r="U98" i="3"/>
  <c r="T98" i="3"/>
  <c r="R98" i="3"/>
  <c r="Q98" i="3"/>
  <c r="P98" i="3"/>
  <c r="O98" i="3"/>
  <c r="N98" i="3"/>
  <c r="M98" i="3"/>
  <c r="L98" i="3"/>
  <c r="K98" i="3"/>
  <c r="J98" i="3"/>
  <c r="I98" i="3"/>
  <c r="H98" i="3"/>
  <c r="G98" i="3"/>
  <c r="AE97" i="3"/>
  <c r="X97" i="3"/>
  <c r="W97" i="3"/>
  <c r="V97" i="3"/>
  <c r="U97" i="3"/>
  <c r="T97" i="3"/>
  <c r="R97" i="3"/>
  <c r="Q97" i="3"/>
  <c r="P97" i="3"/>
  <c r="O97" i="3"/>
  <c r="N97" i="3"/>
  <c r="M97" i="3"/>
  <c r="L97" i="3"/>
  <c r="K97" i="3"/>
  <c r="J97" i="3"/>
  <c r="I97" i="3"/>
  <c r="H97" i="3"/>
  <c r="G97" i="3"/>
  <c r="AE96" i="3"/>
  <c r="X96" i="3"/>
  <c r="W96" i="3"/>
  <c r="V96" i="3"/>
  <c r="U96" i="3"/>
  <c r="T96" i="3"/>
  <c r="R96" i="3"/>
  <c r="Q96" i="3"/>
  <c r="P96" i="3"/>
  <c r="O96" i="3"/>
  <c r="N96" i="3"/>
  <c r="M96" i="3"/>
  <c r="L96" i="3"/>
  <c r="K96" i="3"/>
  <c r="J96" i="3"/>
  <c r="I96" i="3"/>
  <c r="H96" i="3"/>
  <c r="G96" i="3"/>
  <c r="AE95" i="3"/>
  <c r="X95" i="3"/>
  <c r="W95" i="3"/>
  <c r="V95" i="3"/>
  <c r="U95" i="3"/>
  <c r="T95" i="3"/>
  <c r="R95" i="3"/>
  <c r="Q95" i="3"/>
  <c r="P95" i="3"/>
  <c r="O95" i="3"/>
  <c r="N95" i="3"/>
  <c r="M95" i="3"/>
  <c r="L95" i="3"/>
  <c r="K95" i="3"/>
  <c r="J95" i="3"/>
  <c r="I95" i="3"/>
  <c r="H95" i="3"/>
  <c r="G95" i="3"/>
  <c r="AE94" i="3"/>
  <c r="X94" i="3"/>
  <c r="W94" i="3"/>
  <c r="V94" i="3"/>
  <c r="U94" i="3"/>
  <c r="T94" i="3"/>
  <c r="R94" i="3"/>
  <c r="Q94" i="3"/>
  <c r="P94" i="3"/>
  <c r="O94" i="3"/>
  <c r="N94" i="3"/>
  <c r="M94" i="3"/>
  <c r="L94" i="3"/>
  <c r="K94" i="3"/>
  <c r="J94" i="3"/>
  <c r="I94" i="3"/>
  <c r="H94" i="3"/>
  <c r="G94" i="3"/>
  <c r="AE93" i="3"/>
  <c r="X93" i="3"/>
  <c r="W93" i="3"/>
  <c r="V93" i="3"/>
  <c r="U93" i="3"/>
  <c r="T93" i="3"/>
  <c r="R93" i="3"/>
  <c r="Q93" i="3"/>
  <c r="P93" i="3"/>
  <c r="O93" i="3"/>
  <c r="N93" i="3"/>
  <c r="M93" i="3"/>
  <c r="L93" i="3"/>
  <c r="K93" i="3"/>
  <c r="J93" i="3"/>
  <c r="I93" i="3"/>
  <c r="H93" i="3"/>
  <c r="G93" i="3"/>
  <c r="AE92" i="3"/>
  <c r="X92" i="3"/>
  <c r="W92" i="3"/>
  <c r="V92" i="3"/>
  <c r="U92" i="3"/>
  <c r="T92" i="3"/>
  <c r="R92" i="3"/>
  <c r="Q92" i="3"/>
  <c r="P92" i="3"/>
  <c r="O92" i="3"/>
  <c r="N92" i="3"/>
  <c r="M92" i="3"/>
  <c r="L92" i="3"/>
  <c r="K92" i="3"/>
  <c r="J92" i="3"/>
  <c r="I92" i="3"/>
  <c r="H92" i="3"/>
  <c r="G92" i="3"/>
  <c r="AE91" i="3"/>
  <c r="X91" i="3"/>
  <c r="W91" i="3"/>
  <c r="V91" i="3"/>
  <c r="U91" i="3"/>
  <c r="T91" i="3"/>
  <c r="R91" i="3"/>
  <c r="Q91" i="3"/>
  <c r="P91" i="3"/>
  <c r="O91" i="3"/>
  <c r="N91" i="3"/>
  <c r="M91" i="3"/>
  <c r="L91" i="3"/>
  <c r="K91" i="3"/>
  <c r="J91" i="3"/>
  <c r="I91" i="3"/>
  <c r="H91" i="3"/>
  <c r="G91" i="3"/>
  <c r="AE90" i="3"/>
  <c r="X90" i="3"/>
  <c r="W90" i="3"/>
  <c r="V90" i="3"/>
  <c r="U90" i="3"/>
  <c r="T90" i="3"/>
  <c r="R90" i="3"/>
  <c r="Q90" i="3"/>
  <c r="P90" i="3"/>
  <c r="O90" i="3"/>
  <c r="N90" i="3"/>
  <c r="M90" i="3"/>
  <c r="L90" i="3"/>
  <c r="K90" i="3"/>
  <c r="J90" i="3"/>
  <c r="I90" i="3"/>
  <c r="H90" i="3"/>
  <c r="G90" i="3"/>
  <c r="AE89" i="3"/>
  <c r="X89" i="3"/>
  <c r="W89" i="3"/>
  <c r="V89" i="3"/>
  <c r="U89" i="3"/>
  <c r="T89" i="3"/>
  <c r="R89" i="3"/>
  <c r="Q89" i="3"/>
  <c r="P89" i="3"/>
  <c r="O89" i="3"/>
  <c r="N89" i="3"/>
  <c r="M89" i="3"/>
  <c r="L89" i="3"/>
  <c r="K89" i="3"/>
  <c r="J89" i="3"/>
  <c r="I89" i="3"/>
  <c r="H89" i="3"/>
  <c r="G89" i="3"/>
  <c r="AE88" i="3"/>
  <c r="X88" i="3"/>
  <c r="W88" i="3"/>
  <c r="V88" i="3"/>
  <c r="U88" i="3"/>
  <c r="T88" i="3"/>
  <c r="R88" i="3"/>
  <c r="Q88" i="3"/>
  <c r="P88" i="3"/>
  <c r="O88" i="3"/>
  <c r="N88" i="3"/>
  <c r="M88" i="3"/>
  <c r="L88" i="3"/>
  <c r="K88" i="3"/>
  <c r="J88" i="3"/>
  <c r="I88" i="3"/>
  <c r="H88" i="3"/>
  <c r="G88" i="3"/>
  <c r="AE87" i="3"/>
  <c r="X87" i="3"/>
  <c r="W87" i="3"/>
  <c r="V87" i="3"/>
  <c r="U87" i="3"/>
  <c r="T87" i="3"/>
  <c r="R87" i="3"/>
  <c r="Q87" i="3"/>
  <c r="P87" i="3"/>
  <c r="O87" i="3"/>
  <c r="N87" i="3"/>
  <c r="M87" i="3"/>
  <c r="L87" i="3"/>
  <c r="K87" i="3"/>
  <c r="J87" i="3"/>
  <c r="I87" i="3"/>
  <c r="H87" i="3"/>
  <c r="G87" i="3"/>
  <c r="AE86" i="3"/>
  <c r="X86" i="3"/>
  <c r="W86" i="3"/>
  <c r="V86" i="3"/>
  <c r="U86" i="3"/>
  <c r="T86" i="3"/>
  <c r="R86" i="3"/>
  <c r="Q86" i="3"/>
  <c r="P86" i="3"/>
  <c r="O86" i="3"/>
  <c r="N86" i="3"/>
  <c r="M86" i="3"/>
  <c r="L86" i="3"/>
  <c r="K86" i="3"/>
  <c r="J86" i="3"/>
  <c r="I86" i="3"/>
  <c r="H86" i="3"/>
  <c r="G86" i="3"/>
  <c r="AE85" i="3"/>
  <c r="X85" i="3"/>
  <c r="W85" i="3"/>
  <c r="V85" i="3"/>
  <c r="U85" i="3"/>
  <c r="T85" i="3"/>
  <c r="R85" i="3"/>
  <c r="Q85" i="3"/>
  <c r="P85" i="3"/>
  <c r="O85" i="3"/>
  <c r="N85" i="3"/>
  <c r="M85" i="3"/>
  <c r="L85" i="3"/>
  <c r="K85" i="3"/>
  <c r="J85" i="3"/>
  <c r="I85" i="3"/>
  <c r="H85" i="3"/>
  <c r="G85" i="3"/>
  <c r="AE84" i="3"/>
  <c r="X84" i="3"/>
  <c r="W84" i="3"/>
  <c r="V84" i="3"/>
  <c r="U84" i="3"/>
  <c r="T84" i="3"/>
  <c r="R84" i="3"/>
  <c r="Q84" i="3"/>
  <c r="P84" i="3"/>
  <c r="O84" i="3"/>
  <c r="N84" i="3"/>
  <c r="M84" i="3"/>
  <c r="L84" i="3"/>
  <c r="K84" i="3"/>
  <c r="J84" i="3"/>
  <c r="I84" i="3"/>
  <c r="H84" i="3"/>
  <c r="G84" i="3"/>
  <c r="AE83" i="3"/>
  <c r="X83" i="3"/>
  <c r="W83" i="3"/>
  <c r="V83" i="3"/>
  <c r="U83" i="3"/>
  <c r="T83" i="3"/>
  <c r="R83" i="3"/>
  <c r="Q83" i="3"/>
  <c r="P83" i="3"/>
  <c r="O83" i="3"/>
  <c r="N83" i="3"/>
  <c r="M83" i="3"/>
  <c r="L83" i="3"/>
  <c r="K83" i="3"/>
  <c r="J83" i="3"/>
  <c r="I83" i="3"/>
  <c r="H83" i="3"/>
  <c r="G83" i="3"/>
  <c r="AE82" i="3"/>
  <c r="X82" i="3"/>
  <c r="W82" i="3"/>
  <c r="V82" i="3"/>
  <c r="U82" i="3"/>
  <c r="T82" i="3"/>
  <c r="R82" i="3"/>
  <c r="Q82" i="3"/>
  <c r="P82" i="3"/>
  <c r="O82" i="3"/>
  <c r="N82" i="3"/>
  <c r="M82" i="3"/>
  <c r="L82" i="3"/>
  <c r="K82" i="3"/>
  <c r="J82" i="3"/>
  <c r="I82" i="3"/>
  <c r="H82" i="3"/>
  <c r="G82" i="3"/>
  <c r="AE81" i="3"/>
  <c r="X81" i="3"/>
  <c r="W81" i="3"/>
  <c r="V81" i="3"/>
  <c r="U81" i="3"/>
  <c r="T81" i="3"/>
  <c r="R81" i="3"/>
  <c r="Q81" i="3"/>
  <c r="P81" i="3"/>
  <c r="O81" i="3"/>
  <c r="N81" i="3"/>
  <c r="M81" i="3"/>
  <c r="L81" i="3"/>
  <c r="K81" i="3"/>
  <c r="J81" i="3"/>
  <c r="I81" i="3"/>
  <c r="H81" i="3"/>
  <c r="G81" i="3"/>
  <c r="AE80" i="3"/>
  <c r="X80" i="3"/>
  <c r="W80" i="3"/>
  <c r="V80" i="3"/>
  <c r="U80" i="3"/>
  <c r="T80" i="3"/>
  <c r="R80" i="3"/>
  <c r="Q80" i="3"/>
  <c r="P80" i="3"/>
  <c r="O80" i="3"/>
  <c r="N80" i="3"/>
  <c r="M80" i="3"/>
  <c r="L80" i="3"/>
  <c r="K80" i="3"/>
  <c r="J80" i="3"/>
  <c r="I80" i="3"/>
  <c r="H80" i="3"/>
  <c r="G80" i="3"/>
  <c r="AE79" i="3"/>
  <c r="X79" i="3"/>
  <c r="W79" i="3"/>
  <c r="V79" i="3"/>
  <c r="U79" i="3"/>
  <c r="T79" i="3"/>
  <c r="R79" i="3"/>
  <c r="Q79" i="3"/>
  <c r="P79" i="3"/>
  <c r="O79" i="3"/>
  <c r="N79" i="3"/>
  <c r="M79" i="3"/>
  <c r="L79" i="3"/>
  <c r="K79" i="3"/>
  <c r="J79" i="3"/>
  <c r="I79" i="3"/>
  <c r="H79" i="3"/>
  <c r="G79" i="3"/>
  <c r="AE78" i="3"/>
  <c r="X78" i="3"/>
  <c r="W78" i="3"/>
  <c r="V78" i="3"/>
  <c r="U78" i="3"/>
  <c r="T78" i="3"/>
  <c r="R78" i="3"/>
  <c r="Q78" i="3"/>
  <c r="P78" i="3"/>
  <c r="O78" i="3"/>
  <c r="N78" i="3"/>
  <c r="M78" i="3"/>
  <c r="L78" i="3"/>
  <c r="K78" i="3"/>
  <c r="J78" i="3"/>
  <c r="I78" i="3"/>
  <c r="H78" i="3"/>
  <c r="G78" i="3"/>
  <c r="AE77" i="3"/>
  <c r="X77" i="3"/>
  <c r="W77" i="3"/>
  <c r="V77" i="3"/>
  <c r="U77" i="3"/>
  <c r="T77" i="3"/>
  <c r="R77" i="3"/>
  <c r="Q77" i="3"/>
  <c r="P77" i="3"/>
  <c r="O77" i="3"/>
  <c r="N77" i="3"/>
  <c r="M77" i="3"/>
  <c r="L77" i="3"/>
  <c r="K77" i="3"/>
  <c r="J77" i="3"/>
  <c r="I77" i="3"/>
  <c r="H77" i="3"/>
  <c r="G77" i="3"/>
  <c r="AE76" i="3"/>
  <c r="X76" i="3"/>
  <c r="W76" i="3"/>
  <c r="V76" i="3"/>
  <c r="U76" i="3"/>
  <c r="T76" i="3"/>
  <c r="R76" i="3"/>
  <c r="Q76" i="3"/>
  <c r="P76" i="3"/>
  <c r="O76" i="3"/>
  <c r="N76" i="3"/>
  <c r="M76" i="3"/>
  <c r="L76" i="3"/>
  <c r="K76" i="3"/>
  <c r="J76" i="3"/>
  <c r="I76" i="3"/>
  <c r="H76" i="3"/>
  <c r="G76" i="3"/>
  <c r="AE75" i="3"/>
  <c r="X75" i="3"/>
  <c r="W75" i="3"/>
  <c r="V75" i="3"/>
  <c r="U75" i="3"/>
  <c r="T75" i="3"/>
  <c r="R75" i="3"/>
  <c r="Q75" i="3"/>
  <c r="P75" i="3"/>
  <c r="O75" i="3"/>
  <c r="N75" i="3"/>
  <c r="M75" i="3"/>
  <c r="L75" i="3"/>
  <c r="K75" i="3"/>
  <c r="J75" i="3"/>
  <c r="I75" i="3"/>
  <c r="H75" i="3"/>
  <c r="G75" i="3"/>
  <c r="AE74" i="3"/>
  <c r="X74" i="3"/>
  <c r="W74" i="3"/>
  <c r="V74" i="3"/>
  <c r="U74" i="3"/>
  <c r="T74" i="3"/>
  <c r="R74" i="3"/>
  <c r="Q74" i="3"/>
  <c r="P74" i="3"/>
  <c r="O74" i="3"/>
  <c r="N74" i="3"/>
  <c r="M74" i="3"/>
  <c r="L74" i="3"/>
  <c r="K74" i="3"/>
  <c r="J74" i="3"/>
  <c r="I74" i="3"/>
  <c r="H74" i="3"/>
  <c r="G74" i="3"/>
  <c r="AE73" i="3"/>
  <c r="X73" i="3"/>
  <c r="W73" i="3"/>
  <c r="V73" i="3"/>
  <c r="U73" i="3"/>
  <c r="T73" i="3"/>
  <c r="R73" i="3"/>
  <c r="Q73" i="3"/>
  <c r="P73" i="3"/>
  <c r="O73" i="3"/>
  <c r="N73" i="3"/>
  <c r="M73" i="3"/>
  <c r="L73" i="3"/>
  <c r="K73" i="3"/>
  <c r="J73" i="3"/>
  <c r="I73" i="3"/>
  <c r="H73" i="3"/>
  <c r="G73" i="3"/>
  <c r="AE72" i="3"/>
  <c r="X72" i="3"/>
  <c r="W72" i="3"/>
  <c r="V72" i="3"/>
  <c r="U72" i="3"/>
  <c r="T72" i="3"/>
  <c r="R72" i="3"/>
  <c r="Q72" i="3"/>
  <c r="P72" i="3"/>
  <c r="O72" i="3"/>
  <c r="N72" i="3"/>
  <c r="M72" i="3"/>
  <c r="L72" i="3"/>
  <c r="K72" i="3"/>
  <c r="J72" i="3"/>
  <c r="I72" i="3"/>
  <c r="H72" i="3"/>
  <c r="G72" i="3"/>
  <c r="AE71" i="3"/>
  <c r="X71" i="3"/>
  <c r="W71" i="3"/>
  <c r="V71" i="3"/>
  <c r="U71" i="3"/>
  <c r="T71" i="3"/>
  <c r="R71" i="3"/>
  <c r="Q71" i="3"/>
  <c r="P71" i="3"/>
  <c r="O71" i="3"/>
  <c r="N71" i="3"/>
  <c r="M71" i="3"/>
  <c r="L71" i="3"/>
  <c r="K71" i="3"/>
  <c r="J71" i="3"/>
  <c r="I71" i="3"/>
  <c r="H71" i="3"/>
  <c r="G71" i="3"/>
  <c r="AE70" i="3"/>
  <c r="X70" i="3"/>
  <c r="W70" i="3"/>
  <c r="V70" i="3"/>
  <c r="U70" i="3"/>
  <c r="T70" i="3"/>
  <c r="R70" i="3"/>
  <c r="Q70" i="3"/>
  <c r="P70" i="3"/>
  <c r="O70" i="3"/>
  <c r="N70" i="3"/>
  <c r="M70" i="3"/>
  <c r="L70" i="3"/>
  <c r="K70" i="3"/>
  <c r="J70" i="3"/>
  <c r="I70" i="3"/>
  <c r="H70" i="3"/>
  <c r="G70" i="3"/>
  <c r="AE69" i="3"/>
  <c r="X69" i="3"/>
  <c r="W69" i="3"/>
  <c r="V69" i="3"/>
  <c r="U69" i="3"/>
  <c r="T69" i="3"/>
  <c r="R69" i="3"/>
  <c r="Q69" i="3"/>
  <c r="P69" i="3"/>
  <c r="O69" i="3"/>
  <c r="N69" i="3"/>
  <c r="M69" i="3"/>
  <c r="L69" i="3"/>
  <c r="K69" i="3"/>
  <c r="J69" i="3"/>
  <c r="I69" i="3"/>
  <c r="H69" i="3"/>
  <c r="G69" i="3"/>
  <c r="AE68" i="3"/>
  <c r="X68" i="3"/>
  <c r="W68" i="3"/>
  <c r="V68" i="3"/>
  <c r="U68" i="3"/>
  <c r="T68" i="3"/>
  <c r="R68" i="3"/>
  <c r="Q68" i="3"/>
  <c r="P68" i="3"/>
  <c r="O68" i="3"/>
  <c r="N68" i="3"/>
  <c r="M68" i="3"/>
  <c r="L68" i="3"/>
  <c r="K68" i="3"/>
  <c r="J68" i="3"/>
  <c r="I68" i="3"/>
  <c r="H68" i="3"/>
  <c r="G68" i="3"/>
  <c r="AE67" i="3"/>
  <c r="X67" i="3"/>
  <c r="W67" i="3"/>
  <c r="V67" i="3"/>
  <c r="U67" i="3"/>
  <c r="T67" i="3"/>
  <c r="R67" i="3"/>
  <c r="Q67" i="3"/>
  <c r="P67" i="3"/>
  <c r="O67" i="3"/>
  <c r="N67" i="3"/>
  <c r="M67" i="3"/>
  <c r="L67" i="3"/>
  <c r="K67" i="3"/>
  <c r="J67" i="3"/>
  <c r="I67" i="3"/>
  <c r="H67" i="3"/>
  <c r="G67" i="3"/>
  <c r="AE66" i="3"/>
  <c r="X66" i="3"/>
  <c r="W66" i="3"/>
  <c r="V66" i="3"/>
  <c r="U66" i="3"/>
  <c r="T66" i="3"/>
  <c r="R66" i="3"/>
  <c r="Q66" i="3"/>
  <c r="P66" i="3"/>
  <c r="O66" i="3"/>
  <c r="N66" i="3"/>
  <c r="M66" i="3"/>
  <c r="L66" i="3"/>
  <c r="K66" i="3"/>
  <c r="J66" i="3"/>
  <c r="I66" i="3"/>
  <c r="H66" i="3"/>
  <c r="G66" i="3"/>
  <c r="AE65" i="3"/>
  <c r="X65" i="3"/>
  <c r="W65" i="3"/>
  <c r="V65" i="3"/>
  <c r="U65" i="3"/>
  <c r="T65" i="3"/>
  <c r="R65" i="3"/>
  <c r="Q65" i="3"/>
  <c r="P65" i="3"/>
  <c r="O65" i="3"/>
  <c r="N65" i="3"/>
  <c r="M65" i="3"/>
  <c r="L65" i="3"/>
  <c r="K65" i="3"/>
  <c r="J65" i="3"/>
  <c r="I65" i="3"/>
  <c r="H65" i="3"/>
  <c r="G65" i="3"/>
  <c r="AE64" i="3"/>
  <c r="X64" i="3"/>
  <c r="W64" i="3"/>
  <c r="V64" i="3"/>
  <c r="U64" i="3"/>
  <c r="T64" i="3"/>
  <c r="R64" i="3"/>
  <c r="Q64" i="3"/>
  <c r="P64" i="3"/>
  <c r="O64" i="3"/>
  <c r="N64" i="3"/>
  <c r="M64" i="3"/>
  <c r="L64" i="3"/>
  <c r="K64" i="3"/>
  <c r="J64" i="3"/>
  <c r="I64" i="3"/>
  <c r="H64" i="3"/>
  <c r="G64" i="3"/>
  <c r="AE63" i="3"/>
  <c r="X63" i="3"/>
  <c r="W63" i="3"/>
  <c r="V63" i="3"/>
  <c r="U63" i="3"/>
  <c r="T63" i="3"/>
  <c r="R63" i="3"/>
  <c r="Q63" i="3"/>
  <c r="P63" i="3"/>
  <c r="O63" i="3"/>
  <c r="N63" i="3"/>
  <c r="M63" i="3"/>
  <c r="L63" i="3"/>
  <c r="K63" i="3"/>
  <c r="J63" i="3"/>
  <c r="I63" i="3"/>
  <c r="H63" i="3"/>
  <c r="G63" i="3"/>
  <c r="AE62" i="3"/>
  <c r="X62" i="3"/>
  <c r="W62" i="3"/>
  <c r="V62" i="3"/>
  <c r="U62" i="3"/>
  <c r="T62" i="3"/>
  <c r="R62" i="3"/>
  <c r="Q62" i="3"/>
  <c r="P62" i="3"/>
  <c r="O62" i="3"/>
  <c r="N62" i="3"/>
  <c r="M62" i="3"/>
  <c r="L62" i="3"/>
  <c r="K62" i="3"/>
  <c r="J62" i="3"/>
  <c r="I62" i="3"/>
  <c r="H62" i="3"/>
  <c r="G62" i="3"/>
  <c r="AE61" i="3"/>
  <c r="X61" i="3"/>
  <c r="W61" i="3"/>
  <c r="V61" i="3"/>
  <c r="U61" i="3"/>
  <c r="T61" i="3"/>
  <c r="R61" i="3"/>
  <c r="Q61" i="3"/>
  <c r="P61" i="3"/>
  <c r="O61" i="3"/>
  <c r="N61" i="3"/>
  <c r="M61" i="3"/>
  <c r="L61" i="3"/>
  <c r="K61" i="3"/>
  <c r="J61" i="3"/>
  <c r="I61" i="3"/>
  <c r="H61" i="3"/>
  <c r="G61" i="3"/>
  <c r="AE60" i="3"/>
  <c r="X60" i="3"/>
  <c r="W60" i="3"/>
  <c r="V60" i="3"/>
  <c r="U60" i="3"/>
  <c r="T60" i="3"/>
  <c r="R60" i="3"/>
  <c r="Q60" i="3"/>
  <c r="P60" i="3"/>
  <c r="O60" i="3"/>
  <c r="N60" i="3"/>
  <c r="M60" i="3"/>
  <c r="L60" i="3"/>
  <c r="K60" i="3"/>
  <c r="J60" i="3"/>
  <c r="I60" i="3"/>
  <c r="H60" i="3"/>
  <c r="G60" i="3"/>
  <c r="AE59" i="3"/>
  <c r="X59" i="3"/>
  <c r="W59" i="3"/>
  <c r="V59" i="3"/>
  <c r="U59" i="3"/>
  <c r="T59" i="3"/>
  <c r="R59" i="3"/>
  <c r="Q59" i="3"/>
  <c r="P59" i="3"/>
  <c r="O59" i="3"/>
  <c r="N59" i="3"/>
  <c r="M59" i="3"/>
  <c r="L59" i="3"/>
  <c r="K59" i="3"/>
  <c r="J59" i="3"/>
  <c r="I59" i="3"/>
  <c r="H59" i="3"/>
  <c r="G59" i="3"/>
  <c r="AE58" i="3"/>
  <c r="X58" i="3"/>
  <c r="W58" i="3"/>
  <c r="V58" i="3"/>
  <c r="U58" i="3"/>
  <c r="T58" i="3"/>
  <c r="R58" i="3"/>
  <c r="Q58" i="3"/>
  <c r="P58" i="3"/>
  <c r="O58" i="3"/>
  <c r="N58" i="3"/>
  <c r="M58" i="3"/>
  <c r="L58" i="3"/>
  <c r="K58" i="3"/>
  <c r="J58" i="3"/>
  <c r="I58" i="3"/>
  <c r="H58" i="3"/>
  <c r="G58" i="3"/>
  <c r="AE57" i="3"/>
  <c r="X57" i="3"/>
  <c r="W57" i="3"/>
  <c r="V57" i="3"/>
  <c r="U57" i="3"/>
  <c r="T57" i="3"/>
  <c r="R57" i="3"/>
  <c r="Q57" i="3"/>
  <c r="P57" i="3"/>
  <c r="O57" i="3"/>
  <c r="N57" i="3"/>
  <c r="M57" i="3"/>
  <c r="L57" i="3"/>
  <c r="K57" i="3"/>
  <c r="J57" i="3"/>
  <c r="I57" i="3"/>
  <c r="H57" i="3"/>
  <c r="G57" i="3"/>
  <c r="AE56" i="3"/>
  <c r="X56" i="3"/>
  <c r="W56" i="3"/>
  <c r="V56" i="3"/>
  <c r="U56" i="3"/>
  <c r="T56" i="3"/>
  <c r="R56" i="3"/>
  <c r="Q56" i="3"/>
  <c r="P56" i="3"/>
  <c r="O56" i="3"/>
  <c r="N56" i="3"/>
  <c r="M56" i="3"/>
  <c r="L56" i="3"/>
  <c r="K56" i="3"/>
  <c r="J56" i="3"/>
  <c r="I56" i="3"/>
  <c r="H56" i="3"/>
  <c r="G56" i="3"/>
  <c r="AE55" i="3"/>
  <c r="X55" i="3"/>
  <c r="W55" i="3"/>
  <c r="V55" i="3"/>
  <c r="U55" i="3"/>
  <c r="T55" i="3"/>
  <c r="R55" i="3"/>
  <c r="Q55" i="3"/>
  <c r="P55" i="3"/>
  <c r="O55" i="3"/>
  <c r="N55" i="3"/>
  <c r="M55" i="3"/>
  <c r="L55" i="3"/>
  <c r="K55" i="3"/>
  <c r="J55" i="3"/>
  <c r="I55" i="3"/>
  <c r="H55" i="3"/>
  <c r="G55" i="3"/>
  <c r="AE54" i="3"/>
  <c r="X54" i="3"/>
  <c r="W54" i="3"/>
  <c r="V54" i="3"/>
  <c r="U54" i="3"/>
  <c r="T54" i="3"/>
  <c r="R54" i="3"/>
  <c r="Q54" i="3"/>
  <c r="P54" i="3"/>
  <c r="O54" i="3"/>
  <c r="N54" i="3"/>
  <c r="M54" i="3"/>
  <c r="L54" i="3"/>
  <c r="K54" i="3"/>
  <c r="J54" i="3"/>
  <c r="I54" i="3"/>
  <c r="H54" i="3"/>
  <c r="G54" i="3"/>
  <c r="AE53" i="3"/>
  <c r="X53" i="3"/>
  <c r="W53" i="3"/>
  <c r="V53" i="3"/>
  <c r="U53" i="3"/>
  <c r="T53" i="3"/>
  <c r="R53" i="3"/>
  <c r="Q53" i="3"/>
  <c r="P53" i="3"/>
  <c r="O53" i="3"/>
  <c r="N53" i="3"/>
  <c r="M53" i="3"/>
  <c r="L53" i="3"/>
  <c r="K53" i="3"/>
  <c r="J53" i="3"/>
  <c r="I53" i="3"/>
  <c r="H53" i="3"/>
  <c r="G53" i="3"/>
  <c r="AE52" i="3"/>
  <c r="X52" i="3"/>
  <c r="W52" i="3"/>
  <c r="V52" i="3"/>
  <c r="U52" i="3"/>
  <c r="T52" i="3"/>
  <c r="R52" i="3"/>
  <c r="Q52" i="3"/>
  <c r="P52" i="3"/>
  <c r="O52" i="3"/>
  <c r="N52" i="3"/>
  <c r="M52" i="3"/>
  <c r="L52" i="3"/>
  <c r="K52" i="3"/>
  <c r="J52" i="3"/>
  <c r="I52" i="3"/>
  <c r="H52" i="3"/>
  <c r="G52" i="3"/>
  <c r="AE51" i="3"/>
  <c r="X51" i="3"/>
  <c r="W51" i="3"/>
  <c r="V51" i="3"/>
  <c r="U51" i="3"/>
  <c r="T51" i="3"/>
  <c r="R51" i="3"/>
  <c r="Q51" i="3"/>
  <c r="P51" i="3"/>
  <c r="O51" i="3"/>
  <c r="N51" i="3"/>
  <c r="M51" i="3"/>
  <c r="L51" i="3"/>
  <c r="K51" i="3"/>
  <c r="J51" i="3"/>
  <c r="I51" i="3"/>
  <c r="H51" i="3"/>
  <c r="G51" i="3"/>
  <c r="AE50" i="3"/>
  <c r="X50" i="3"/>
  <c r="W50" i="3"/>
  <c r="V50" i="3"/>
  <c r="U50" i="3"/>
  <c r="T50" i="3"/>
  <c r="R50" i="3"/>
  <c r="Q50" i="3"/>
  <c r="P50" i="3"/>
  <c r="O50" i="3"/>
  <c r="N50" i="3"/>
  <c r="M50" i="3"/>
  <c r="L50" i="3"/>
  <c r="K50" i="3"/>
  <c r="J50" i="3"/>
  <c r="I50" i="3"/>
  <c r="H50" i="3"/>
  <c r="G50" i="3"/>
  <c r="AE49" i="3"/>
  <c r="X49" i="3"/>
  <c r="W49" i="3"/>
  <c r="V49" i="3"/>
  <c r="U49" i="3"/>
  <c r="T49" i="3"/>
  <c r="R49" i="3"/>
  <c r="Q49" i="3"/>
  <c r="P49" i="3"/>
  <c r="O49" i="3"/>
  <c r="N49" i="3"/>
  <c r="M49" i="3"/>
  <c r="L49" i="3"/>
  <c r="K49" i="3"/>
  <c r="J49" i="3"/>
  <c r="I49" i="3"/>
  <c r="H49" i="3"/>
  <c r="G49" i="3"/>
  <c r="AE48" i="3"/>
  <c r="X48" i="3"/>
  <c r="W48" i="3"/>
  <c r="V48" i="3"/>
  <c r="U48" i="3"/>
  <c r="T48" i="3"/>
  <c r="R48" i="3"/>
  <c r="Q48" i="3"/>
  <c r="P48" i="3"/>
  <c r="O48" i="3"/>
  <c r="N48" i="3"/>
  <c r="M48" i="3"/>
  <c r="L48" i="3"/>
  <c r="K48" i="3"/>
  <c r="J48" i="3"/>
  <c r="I48" i="3"/>
  <c r="H48" i="3"/>
  <c r="G48" i="3"/>
  <c r="AE47" i="3"/>
  <c r="X47" i="3"/>
  <c r="W47" i="3"/>
  <c r="V47" i="3"/>
  <c r="U47" i="3"/>
  <c r="T47" i="3"/>
  <c r="R47" i="3"/>
  <c r="Q47" i="3"/>
  <c r="P47" i="3"/>
  <c r="O47" i="3"/>
  <c r="N47" i="3"/>
  <c r="M47" i="3"/>
  <c r="L47" i="3"/>
  <c r="K47" i="3"/>
  <c r="J47" i="3"/>
  <c r="I47" i="3"/>
  <c r="H47" i="3"/>
  <c r="G47" i="3"/>
  <c r="AE46" i="3"/>
  <c r="X46" i="3"/>
  <c r="W46" i="3"/>
  <c r="V46" i="3"/>
  <c r="U46" i="3"/>
  <c r="T46" i="3"/>
  <c r="R46" i="3"/>
  <c r="Q46" i="3"/>
  <c r="P46" i="3"/>
  <c r="O46" i="3"/>
  <c r="N46" i="3"/>
  <c r="M46" i="3"/>
  <c r="L46" i="3"/>
  <c r="K46" i="3"/>
  <c r="J46" i="3"/>
  <c r="I46" i="3"/>
  <c r="H46" i="3"/>
  <c r="G46" i="3"/>
  <c r="AE45" i="3"/>
  <c r="X45" i="3"/>
  <c r="W45" i="3"/>
  <c r="V45" i="3"/>
  <c r="U45" i="3"/>
  <c r="T45" i="3"/>
  <c r="R45" i="3"/>
  <c r="Q45" i="3"/>
  <c r="P45" i="3"/>
  <c r="O45" i="3"/>
  <c r="N45" i="3"/>
  <c r="M45" i="3"/>
  <c r="L45" i="3"/>
  <c r="K45" i="3"/>
  <c r="J45" i="3"/>
  <c r="I45" i="3"/>
  <c r="H45" i="3"/>
  <c r="G45" i="3"/>
  <c r="AE44" i="3"/>
  <c r="X44" i="3"/>
  <c r="W44" i="3"/>
  <c r="V44" i="3"/>
  <c r="U44" i="3"/>
  <c r="T44" i="3"/>
  <c r="R44" i="3"/>
  <c r="Q44" i="3"/>
  <c r="P44" i="3"/>
  <c r="O44" i="3"/>
  <c r="N44" i="3"/>
  <c r="M44" i="3"/>
  <c r="L44" i="3"/>
  <c r="K44" i="3"/>
  <c r="J44" i="3"/>
  <c r="I44" i="3"/>
  <c r="H44" i="3"/>
  <c r="G44" i="3"/>
  <c r="AE43" i="3"/>
  <c r="X43" i="3"/>
  <c r="W43" i="3"/>
  <c r="V43" i="3"/>
  <c r="U43" i="3"/>
  <c r="T43" i="3"/>
  <c r="R43" i="3"/>
  <c r="Q43" i="3"/>
  <c r="P43" i="3"/>
  <c r="O43" i="3"/>
  <c r="N43" i="3"/>
  <c r="M43" i="3"/>
  <c r="L43" i="3"/>
  <c r="K43" i="3"/>
  <c r="J43" i="3"/>
  <c r="I43" i="3"/>
  <c r="H43" i="3"/>
  <c r="G43" i="3"/>
  <c r="AE42" i="3"/>
  <c r="X42" i="3"/>
  <c r="W42" i="3"/>
  <c r="V42" i="3"/>
  <c r="U42" i="3"/>
  <c r="T42" i="3"/>
  <c r="R42" i="3"/>
  <c r="Q42" i="3"/>
  <c r="P42" i="3"/>
  <c r="O42" i="3"/>
  <c r="N42" i="3"/>
  <c r="M42" i="3"/>
  <c r="L42" i="3"/>
  <c r="K42" i="3"/>
  <c r="J42" i="3"/>
  <c r="I42" i="3"/>
  <c r="H42" i="3"/>
  <c r="G42" i="3"/>
  <c r="AE41" i="3"/>
  <c r="X41" i="3"/>
  <c r="W41" i="3"/>
  <c r="V41" i="3"/>
  <c r="U41" i="3"/>
  <c r="T41" i="3"/>
  <c r="R41" i="3"/>
  <c r="Q41" i="3"/>
  <c r="P41" i="3"/>
  <c r="O41" i="3"/>
  <c r="N41" i="3"/>
  <c r="M41" i="3"/>
  <c r="L41" i="3"/>
  <c r="K41" i="3"/>
  <c r="J41" i="3"/>
  <c r="I41" i="3"/>
  <c r="H41" i="3"/>
  <c r="G41" i="3"/>
  <c r="AE40" i="3"/>
  <c r="X40" i="3"/>
  <c r="W40" i="3"/>
  <c r="V40" i="3"/>
  <c r="U40" i="3"/>
  <c r="T40" i="3"/>
  <c r="R40" i="3"/>
  <c r="Q40" i="3"/>
  <c r="P40" i="3"/>
  <c r="O40" i="3"/>
  <c r="N40" i="3"/>
  <c r="M40" i="3"/>
  <c r="L40" i="3"/>
  <c r="K40" i="3"/>
  <c r="J40" i="3"/>
  <c r="I40" i="3"/>
  <c r="H40" i="3"/>
  <c r="G40" i="3"/>
  <c r="AE39" i="3"/>
  <c r="X39" i="3"/>
  <c r="W39" i="3"/>
  <c r="V39" i="3"/>
  <c r="U39" i="3"/>
  <c r="T39" i="3"/>
  <c r="R39" i="3"/>
  <c r="Q39" i="3"/>
  <c r="P39" i="3"/>
  <c r="O39" i="3"/>
  <c r="N39" i="3"/>
  <c r="M39" i="3"/>
  <c r="L39" i="3"/>
  <c r="K39" i="3"/>
  <c r="J39" i="3"/>
  <c r="I39" i="3"/>
  <c r="H39" i="3"/>
  <c r="G39" i="3"/>
  <c r="AE38" i="3"/>
  <c r="X38" i="3"/>
  <c r="W38" i="3"/>
  <c r="V38" i="3"/>
  <c r="U38" i="3"/>
  <c r="T38" i="3"/>
  <c r="R38" i="3"/>
  <c r="Q38" i="3"/>
  <c r="P38" i="3"/>
  <c r="O38" i="3"/>
  <c r="N38" i="3"/>
  <c r="M38" i="3"/>
  <c r="L38" i="3"/>
  <c r="K38" i="3"/>
  <c r="J38" i="3"/>
  <c r="I38" i="3"/>
  <c r="H38" i="3"/>
  <c r="G38" i="3"/>
  <c r="AE37" i="3"/>
  <c r="X37" i="3"/>
  <c r="W37" i="3"/>
  <c r="V37" i="3"/>
  <c r="U37" i="3"/>
  <c r="T37" i="3"/>
  <c r="R37" i="3"/>
  <c r="Q37" i="3"/>
  <c r="P37" i="3"/>
  <c r="O37" i="3"/>
  <c r="N37" i="3"/>
  <c r="M37" i="3"/>
  <c r="L37" i="3"/>
  <c r="K37" i="3"/>
  <c r="J37" i="3"/>
  <c r="I37" i="3"/>
  <c r="H37" i="3"/>
  <c r="G37" i="3"/>
  <c r="AE36" i="3"/>
  <c r="X36" i="3"/>
  <c r="W36" i="3"/>
  <c r="V36" i="3"/>
  <c r="U36" i="3"/>
  <c r="T36" i="3"/>
  <c r="R36" i="3"/>
  <c r="Q36" i="3"/>
  <c r="P36" i="3"/>
  <c r="O36" i="3"/>
  <c r="N36" i="3"/>
  <c r="M36" i="3"/>
  <c r="L36" i="3"/>
  <c r="K36" i="3"/>
  <c r="J36" i="3"/>
  <c r="I36" i="3"/>
  <c r="H36" i="3"/>
  <c r="G36" i="3"/>
  <c r="AE35" i="3"/>
  <c r="X35" i="3"/>
  <c r="W35" i="3"/>
  <c r="V35" i="3"/>
  <c r="U35" i="3"/>
  <c r="T35" i="3"/>
  <c r="R35" i="3"/>
  <c r="Q35" i="3"/>
  <c r="P35" i="3"/>
  <c r="O35" i="3"/>
  <c r="N35" i="3"/>
  <c r="M35" i="3"/>
  <c r="L35" i="3"/>
  <c r="K35" i="3"/>
  <c r="J35" i="3"/>
  <c r="I35" i="3"/>
  <c r="H35" i="3"/>
  <c r="G35" i="3"/>
  <c r="AE34" i="3"/>
  <c r="X34" i="3"/>
  <c r="W34" i="3"/>
  <c r="V34" i="3"/>
  <c r="U34" i="3"/>
  <c r="T34" i="3"/>
  <c r="R34" i="3"/>
  <c r="Q34" i="3"/>
  <c r="P34" i="3"/>
  <c r="O34" i="3"/>
  <c r="N34" i="3"/>
  <c r="M34" i="3"/>
  <c r="L34" i="3"/>
  <c r="K34" i="3"/>
  <c r="J34" i="3"/>
  <c r="I34" i="3"/>
  <c r="H34" i="3"/>
  <c r="G34" i="3"/>
  <c r="AE33" i="3"/>
  <c r="X33" i="3"/>
  <c r="W33" i="3"/>
  <c r="V33" i="3"/>
  <c r="U33" i="3"/>
  <c r="T33" i="3"/>
  <c r="R33" i="3"/>
  <c r="Q33" i="3"/>
  <c r="P33" i="3"/>
  <c r="O33" i="3"/>
  <c r="N33" i="3"/>
  <c r="M33" i="3"/>
  <c r="L33" i="3"/>
  <c r="K33" i="3"/>
  <c r="J33" i="3"/>
  <c r="I33" i="3"/>
  <c r="H33" i="3"/>
  <c r="G33" i="3"/>
  <c r="AE32" i="3"/>
  <c r="X32" i="3"/>
  <c r="W32" i="3"/>
  <c r="V32" i="3"/>
  <c r="U32" i="3"/>
  <c r="T32" i="3"/>
  <c r="R32" i="3"/>
  <c r="Q32" i="3"/>
  <c r="P32" i="3"/>
  <c r="O32" i="3"/>
  <c r="N32" i="3"/>
  <c r="M32" i="3"/>
  <c r="L32" i="3"/>
  <c r="K32" i="3"/>
  <c r="J32" i="3"/>
  <c r="I32" i="3"/>
  <c r="H32" i="3"/>
  <c r="G32" i="3"/>
  <c r="AE31" i="3"/>
  <c r="X31" i="3"/>
  <c r="W31" i="3"/>
  <c r="V31" i="3"/>
  <c r="U31" i="3"/>
  <c r="T31" i="3"/>
  <c r="R31" i="3"/>
  <c r="Q31" i="3"/>
  <c r="P31" i="3"/>
  <c r="O31" i="3"/>
  <c r="N31" i="3"/>
  <c r="M31" i="3"/>
  <c r="L31" i="3"/>
  <c r="K31" i="3"/>
  <c r="J31" i="3"/>
  <c r="I31" i="3"/>
  <c r="H31" i="3"/>
  <c r="G31" i="3"/>
  <c r="AE30" i="3"/>
  <c r="X30" i="3"/>
  <c r="W30" i="3"/>
  <c r="V30" i="3"/>
  <c r="U30" i="3"/>
  <c r="T30" i="3"/>
  <c r="R30" i="3"/>
  <c r="Q30" i="3"/>
  <c r="P30" i="3"/>
  <c r="O30" i="3"/>
  <c r="N30" i="3"/>
  <c r="M30" i="3"/>
  <c r="L30" i="3"/>
  <c r="K30" i="3"/>
  <c r="J30" i="3"/>
  <c r="I30" i="3"/>
  <c r="H30" i="3"/>
  <c r="G30" i="3"/>
  <c r="AE29" i="3"/>
  <c r="X29" i="3"/>
  <c r="W29" i="3"/>
  <c r="V29" i="3"/>
  <c r="U29" i="3"/>
  <c r="T29" i="3"/>
  <c r="R29" i="3"/>
  <c r="Q29" i="3"/>
  <c r="P29" i="3"/>
  <c r="O29" i="3"/>
  <c r="N29" i="3"/>
  <c r="M29" i="3"/>
  <c r="L29" i="3"/>
  <c r="K29" i="3"/>
  <c r="J29" i="3"/>
  <c r="I29" i="3"/>
  <c r="H29" i="3"/>
  <c r="G29" i="3"/>
  <c r="AE28" i="3"/>
  <c r="X28" i="3"/>
  <c r="W28" i="3"/>
  <c r="V28" i="3"/>
  <c r="U28" i="3"/>
  <c r="T28" i="3"/>
  <c r="R28" i="3"/>
  <c r="Q28" i="3"/>
  <c r="P28" i="3"/>
  <c r="O28" i="3"/>
  <c r="N28" i="3"/>
  <c r="M28" i="3"/>
  <c r="L28" i="3"/>
  <c r="K28" i="3"/>
  <c r="J28" i="3"/>
  <c r="I28" i="3"/>
  <c r="H28" i="3"/>
  <c r="G28" i="3"/>
  <c r="AE27" i="3"/>
  <c r="X27" i="3"/>
  <c r="W27" i="3"/>
  <c r="V27" i="3"/>
  <c r="U27" i="3"/>
  <c r="T27" i="3"/>
  <c r="R27" i="3"/>
  <c r="Q27" i="3"/>
  <c r="P27" i="3"/>
  <c r="O27" i="3"/>
  <c r="N27" i="3"/>
  <c r="M27" i="3"/>
  <c r="L27" i="3"/>
  <c r="K27" i="3"/>
  <c r="J27" i="3"/>
  <c r="I27" i="3"/>
  <c r="H27" i="3"/>
  <c r="G27" i="3"/>
  <c r="AE26" i="3"/>
  <c r="X26" i="3"/>
  <c r="W26" i="3"/>
  <c r="V26" i="3"/>
  <c r="U26" i="3"/>
  <c r="T26" i="3"/>
  <c r="R26" i="3"/>
  <c r="Q26" i="3"/>
  <c r="P26" i="3"/>
  <c r="O26" i="3"/>
  <c r="N26" i="3"/>
  <c r="M26" i="3"/>
  <c r="L26" i="3"/>
  <c r="K26" i="3"/>
  <c r="J26" i="3"/>
  <c r="I26" i="3"/>
  <c r="H26" i="3"/>
  <c r="G26" i="3"/>
  <c r="AE25" i="3"/>
  <c r="X25" i="3"/>
  <c r="W25" i="3"/>
  <c r="V25" i="3"/>
  <c r="U25" i="3"/>
  <c r="T25" i="3"/>
  <c r="R25" i="3"/>
  <c r="Q25" i="3"/>
  <c r="P25" i="3"/>
  <c r="O25" i="3"/>
  <c r="N25" i="3"/>
  <c r="M25" i="3"/>
  <c r="L25" i="3"/>
  <c r="K25" i="3"/>
  <c r="J25" i="3"/>
  <c r="I25" i="3"/>
  <c r="H25" i="3"/>
  <c r="G25" i="3"/>
  <c r="H24" i="3"/>
  <c r="H23" i="3"/>
  <c r="H22" i="3"/>
  <c r="H21" i="3"/>
  <c r="AE24" i="3"/>
  <c r="X24" i="3"/>
  <c r="W24" i="3"/>
  <c r="V24" i="3"/>
  <c r="U24" i="3"/>
  <c r="T24" i="3"/>
  <c r="R24" i="3"/>
  <c r="Q24" i="3"/>
  <c r="P24" i="3"/>
  <c r="O24" i="3"/>
  <c r="N24" i="3"/>
  <c r="M24" i="3"/>
  <c r="L24" i="3"/>
  <c r="K24" i="3"/>
  <c r="J24" i="3"/>
  <c r="I24" i="3"/>
  <c r="G24" i="3"/>
  <c r="AE23" i="3"/>
  <c r="X23" i="3"/>
  <c r="W23" i="3"/>
  <c r="V23" i="3"/>
  <c r="U23" i="3"/>
  <c r="T23" i="3"/>
  <c r="R23" i="3"/>
  <c r="Q23" i="3"/>
  <c r="P23" i="3"/>
  <c r="O23" i="3"/>
  <c r="N23" i="3"/>
  <c r="M23" i="3"/>
  <c r="L23" i="3"/>
  <c r="K23" i="3"/>
  <c r="J23" i="3"/>
  <c r="I23" i="3"/>
  <c r="G23" i="3"/>
  <c r="AE22" i="3"/>
  <c r="X22" i="3"/>
  <c r="W22" i="3"/>
  <c r="V22" i="3"/>
  <c r="U22" i="3"/>
  <c r="T22" i="3"/>
  <c r="R22" i="3"/>
  <c r="Q22" i="3"/>
  <c r="P22" i="3"/>
  <c r="O22" i="3"/>
  <c r="N22" i="3"/>
  <c r="M22" i="3"/>
  <c r="L22" i="3"/>
  <c r="K22" i="3"/>
  <c r="J22" i="3"/>
  <c r="I22" i="3"/>
  <c r="G22" i="3"/>
  <c r="AE21" i="3"/>
  <c r="X21" i="3"/>
  <c r="W21" i="3"/>
  <c r="V21" i="3"/>
  <c r="U21" i="3"/>
  <c r="T21" i="3"/>
  <c r="R21" i="3"/>
  <c r="Q21" i="3"/>
  <c r="P21" i="3"/>
  <c r="O21" i="3"/>
  <c r="N21" i="3"/>
  <c r="M21" i="3"/>
  <c r="L21" i="3"/>
  <c r="K21" i="3"/>
  <c r="J21" i="3"/>
  <c r="I21" i="3"/>
  <c r="G21" i="3"/>
  <c r="AE20" i="3"/>
  <c r="X20" i="3"/>
  <c r="W20" i="3"/>
  <c r="V20" i="3"/>
  <c r="U20" i="3"/>
  <c r="T20" i="3"/>
  <c r="R20" i="3"/>
  <c r="Q20" i="3"/>
  <c r="P20" i="3"/>
  <c r="O20" i="3"/>
  <c r="N20" i="3"/>
  <c r="M20" i="3"/>
  <c r="L20" i="3"/>
  <c r="K20" i="3"/>
  <c r="J20" i="3"/>
  <c r="I20" i="3"/>
  <c r="G20" i="3"/>
  <c r="AE19" i="3"/>
  <c r="X19" i="3"/>
  <c r="W19" i="3"/>
  <c r="V19" i="3"/>
  <c r="U19" i="3"/>
  <c r="T19" i="3"/>
  <c r="R19" i="3"/>
  <c r="Q19" i="3"/>
  <c r="P19" i="3"/>
  <c r="O19" i="3"/>
  <c r="N19" i="3"/>
  <c r="M19" i="3"/>
  <c r="L19" i="3"/>
  <c r="K19" i="3"/>
  <c r="J19" i="3"/>
  <c r="I19" i="3"/>
  <c r="G19" i="3"/>
  <c r="N17" i="3"/>
  <c r="N18" i="3"/>
  <c r="AE18" i="3"/>
  <c r="X18" i="3"/>
  <c r="W18" i="3"/>
  <c r="V18" i="3"/>
  <c r="U18" i="3"/>
  <c r="T18" i="3"/>
  <c r="R18" i="3"/>
  <c r="Q18" i="3"/>
  <c r="P18" i="3"/>
  <c r="O18" i="3"/>
  <c r="M18" i="3"/>
  <c r="L18" i="3"/>
  <c r="K18" i="3"/>
  <c r="J18" i="3"/>
  <c r="I18" i="3"/>
  <c r="G18" i="3"/>
  <c r="AE16" i="3"/>
  <c r="AE15" i="3"/>
  <c r="AE14" i="3"/>
  <c r="AE13" i="3"/>
  <c r="AE12" i="3"/>
  <c r="AE11" i="3"/>
  <c r="AE10" i="3"/>
  <c r="AE8" i="3"/>
  <c r="AE17" i="3"/>
  <c r="AE7" i="3"/>
  <c r="AE6" i="3"/>
  <c r="X17" i="3"/>
  <c r="W17" i="3"/>
  <c r="V17" i="3"/>
  <c r="U17" i="3"/>
  <c r="T17" i="3"/>
  <c r="R17" i="3"/>
  <c r="Q17" i="3"/>
  <c r="P17" i="3"/>
  <c r="O17" i="3"/>
  <c r="M17" i="3"/>
  <c r="L17" i="3"/>
  <c r="K17" i="3"/>
  <c r="J17" i="3"/>
  <c r="I17" i="3"/>
  <c r="G17" i="3"/>
  <c r="X16" i="3"/>
  <c r="W16" i="3"/>
  <c r="V16" i="3"/>
  <c r="U16" i="3"/>
  <c r="T16" i="3"/>
  <c r="R16" i="3"/>
  <c r="Q16" i="3"/>
  <c r="P16" i="3"/>
  <c r="O16" i="3"/>
  <c r="M16" i="3"/>
  <c r="L16" i="3"/>
  <c r="K16" i="3"/>
  <c r="J16" i="3"/>
  <c r="I16" i="3"/>
  <c r="G16" i="3"/>
  <c r="N16" i="3"/>
  <c r="N15" i="3"/>
  <c r="H20" i="3"/>
  <c r="H19" i="3"/>
  <c r="H18" i="3"/>
  <c r="H17" i="3"/>
  <c r="H16" i="3"/>
  <c r="H15" i="3"/>
  <c r="H12" i="3"/>
  <c r="H11" i="3"/>
  <c r="H10" i="3"/>
  <c r="H9" i="3"/>
  <c r="H8" i="3"/>
  <c r="O15" i="3"/>
  <c r="O13" i="3"/>
  <c r="O12" i="3"/>
  <c r="O11" i="3"/>
  <c r="O10" i="3"/>
  <c r="O9" i="3"/>
  <c r="O8" i="3"/>
  <c r="O7" i="3"/>
  <c r="H6" i="3"/>
  <c r="O6" i="3"/>
  <c r="N6" i="3"/>
  <c r="N7" i="3"/>
  <c r="N8" i="3"/>
  <c r="N9" i="3"/>
  <c r="N10" i="3"/>
  <c r="N11" i="3"/>
  <c r="N12" i="3"/>
  <c r="N13" i="3"/>
  <c r="H14" i="3"/>
  <c r="O14" i="3"/>
  <c r="N14" i="3"/>
  <c r="H13" i="3"/>
  <c r="X15" i="3"/>
  <c r="W15" i="3"/>
  <c r="V15" i="3"/>
  <c r="U15" i="3"/>
  <c r="T15" i="3"/>
  <c r="R15" i="3"/>
  <c r="Q15" i="3"/>
  <c r="P15" i="3"/>
  <c r="M15" i="3"/>
  <c r="L15" i="3"/>
  <c r="K15" i="3"/>
  <c r="J15" i="3"/>
  <c r="I15" i="3"/>
  <c r="G15" i="3"/>
  <c r="X14" i="3"/>
  <c r="W14" i="3"/>
  <c r="V14" i="3"/>
  <c r="U14" i="3"/>
  <c r="T14" i="3"/>
  <c r="R14" i="3"/>
  <c r="Q14" i="3"/>
  <c r="P14" i="3"/>
  <c r="M14" i="3"/>
  <c r="L14" i="3"/>
  <c r="K14" i="3"/>
  <c r="J14" i="3"/>
  <c r="I14" i="3"/>
  <c r="G14" i="3"/>
  <c r="X13" i="3"/>
  <c r="W13" i="3"/>
  <c r="V13" i="3"/>
  <c r="U13" i="3"/>
  <c r="T13" i="3"/>
  <c r="R13" i="3"/>
  <c r="Q13" i="3"/>
  <c r="P13" i="3"/>
  <c r="M13" i="3"/>
  <c r="L13" i="3"/>
  <c r="K13" i="3"/>
  <c r="J13" i="3"/>
  <c r="I13" i="3"/>
  <c r="G13" i="3"/>
  <c r="X12" i="3"/>
  <c r="W12" i="3"/>
  <c r="V12" i="3"/>
  <c r="U12" i="3"/>
  <c r="T12" i="3"/>
  <c r="R12" i="3"/>
  <c r="Q12" i="3"/>
  <c r="P12" i="3"/>
  <c r="M12" i="3"/>
  <c r="L12" i="3"/>
  <c r="K12" i="3"/>
  <c r="J12" i="3"/>
  <c r="I12" i="3"/>
  <c r="G12" i="3"/>
  <c r="X11" i="3"/>
  <c r="W11" i="3"/>
  <c r="V11" i="3"/>
  <c r="U11" i="3"/>
  <c r="T11" i="3"/>
  <c r="R11" i="3"/>
  <c r="Q11" i="3"/>
  <c r="P11" i="3"/>
  <c r="M11" i="3"/>
  <c r="L11" i="3"/>
  <c r="K11" i="3"/>
  <c r="J11" i="3"/>
  <c r="I11" i="3"/>
  <c r="G11" i="3"/>
  <c r="X10" i="3"/>
  <c r="W10" i="3"/>
  <c r="V10" i="3"/>
  <c r="U10" i="3"/>
  <c r="T10" i="3"/>
  <c r="R10" i="3"/>
  <c r="Q10" i="3"/>
  <c r="P10" i="3"/>
  <c r="M10" i="3"/>
  <c r="L10" i="3"/>
  <c r="K10" i="3"/>
  <c r="J10" i="3"/>
  <c r="I10" i="3"/>
  <c r="G10" i="3"/>
  <c r="X9" i="3"/>
  <c r="W9" i="3"/>
  <c r="V9" i="3"/>
  <c r="U9" i="3"/>
  <c r="T9" i="3"/>
  <c r="R9" i="3"/>
  <c r="Q9" i="3"/>
  <c r="P9" i="3"/>
  <c r="M9" i="3"/>
  <c r="L9" i="3"/>
  <c r="K9" i="3"/>
  <c r="J9" i="3"/>
  <c r="I9" i="3"/>
  <c r="G9" i="3"/>
  <c r="X8" i="3"/>
  <c r="W8" i="3"/>
  <c r="V8" i="3"/>
  <c r="U8" i="3"/>
  <c r="T8" i="3"/>
  <c r="R8" i="3"/>
  <c r="Q8" i="3"/>
  <c r="P8" i="3"/>
  <c r="M8" i="3"/>
  <c r="L8" i="3"/>
  <c r="K8" i="3"/>
  <c r="J8" i="3"/>
  <c r="I8" i="3"/>
  <c r="G8" i="3"/>
  <c r="X7" i="3"/>
  <c r="W7" i="3"/>
  <c r="V7" i="3"/>
  <c r="U7" i="3"/>
  <c r="T7" i="3"/>
  <c r="R7" i="3"/>
  <c r="Q7" i="3"/>
  <c r="P7" i="3"/>
  <c r="M7" i="3"/>
  <c r="L7" i="3"/>
  <c r="H7" i="3"/>
  <c r="G7" i="3"/>
  <c r="K7" i="3"/>
  <c r="J7" i="3"/>
  <c r="I7" i="3"/>
  <c r="X6" i="3"/>
  <c r="W6" i="3"/>
  <c r="V6" i="3"/>
  <c r="U6" i="3"/>
  <c r="T6" i="3"/>
  <c r="R6" i="3"/>
  <c r="Q6" i="3"/>
  <c r="P6" i="3"/>
  <c r="M6" i="3"/>
  <c r="L6" i="3"/>
  <c r="K6" i="3"/>
  <c r="J6" i="3"/>
  <c r="I6" i="3"/>
  <c r="G6" i="3"/>
  <c r="F100" i="3"/>
  <c r="F99" i="3"/>
  <c r="F98" i="3"/>
  <c r="F97" i="3"/>
  <c r="F96" i="3"/>
  <c r="F95" i="3"/>
  <c r="F94" i="3"/>
  <c r="F93" i="3"/>
  <c r="F92" i="3"/>
  <c r="F91" i="3"/>
  <c r="F90" i="3"/>
  <c r="F89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F18" i="3"/>
  <c r="R102" i="3" l="1"/>
  <c r="G102" i="3"/>
  <c r="L102" i="3"/>
  <c r="W102" i="3"/>
  <c r="J102" i="3"/>
  <c r="P102" i="3"/>
  <c r="U102" i="3"/>
  <c r="N102" i="3"/>
  <c r="I102" i="3"/>
  <c r="M102" i="3"/>
  <c r="T102" i="3"/>
  <c r="X102" i="3"/>
  <c r="O102" i="3"/>
  <c r="AE102" i="3"/>
  <c r="S102" i="3"/>
  <c r="H102" i="3"/>
  <c r="K102" i="3"/>
  <c r="Q102" i="3"/>
  <c r="V102" i="3"/>
  <c r="AF3" i="3"/>
  <c r="AC3" i="4"/>
  <c r="F5" i="4"/>
  <c r="AF11" i="3"/>
  <c r="AF15" i="3"/>
  <c r="AF26" i="3"/>
  <c r="AF30" i="3"/>
  <c r="AF34" i="3"/>
  <c r="AF38" i="3"/>
  <c r="AF42" i="3"/>
  <c r="AF46" i="3"/>
  <c r="AF50" i="3"/>
  <c r="AF54" i="3"/>
  <c r="AF58" i="3"/>
  <c r="AF62" i="3"/>
  <c r="AF66" i="3"/>
  <c r="AF70" i="3"/>
  <c r="AF74" i="3"/>
  <c r="AF78" i="3"/>
  <c r="AF82" i="3"/>
  <c r="AF86" i="3"/>
  <c r="AF90" i="3"/>
  <c r="AF94" i="3"/>
  <c r="AF98" i="3"/>
  <c r="AF7" i="3"/>
  <c r="AF9" i="3"/>
  <c r="AF13" i="3"/>
  <c r="AF16" i="3"/>
  <c r="AF17" i="3"/>
  <c r="AF18" i="3"/>
  <c r="AF28" i="3"/>
  <c r="AF32" i="3"/>
  <c r="AF36" i="3"/>
  <c r="AF40" i="3"/>
  <c r="AF44" i="3"/>
  <c r="AF48" i="3"/>
  <c r="AF52" i="3"/>
  <c r="AF56" i="3"/>
  <c r="AF60" i="3"/>
  <c r="AF64" i="3"/>
  <c r="AF68" i="3"/>
  <c r="AF72" i="3"/>
  <c r="AF76" i="3"/>
  <c r="AF80" i="3"/>
  <c r="AF84" i="3"/>
  <c r="AF88" i="3"/>
  <c r="AF92" i="3"/>
  <c r="AF96" i="3"/>
  <c r="AF100" i="3"/>
  <c r="AF8" i="3"/>
  <c r="AF12" i="3"/>
  <c r="AF20" i="3"/>
  <c r="AF22" i="3"/>
  <c r="AF24" i="3"/>
  <c r="AF27" i="3"/>
  <c r="AF31" i="3"/>
  <c r="AF35" i="3"/>
  <c r="AF39" i="3"/>
  <c r="AF43" i="3"/>
  <c r="AF47" i="3"/>
  <c r="AF51" i="3"/>
  <c r="AF55" i="3"/>
  <c r="AF59" i="3"/>
  <c r="AF63" i="3"/>
  <c r="AF67" i="3"/>
  <c r="AF71" i="3"/>
  <c r="AF75" i="3"/>
  <c r="AF79" i="3"/>
  <c r="AF83" i="3"/>
  <c r="AF87" i="3"/>
  <c r="AF91" i="3"/>
  <c r="AF95" i="3"/>
  <c r="AF99" i="3"/>
  <c r="AF10" i="3"/>
  <c r="AF14" i="3"/>
  <c r="AF19" i="3"/>
  <c r="AF21" i="3"/>
  <c r="AF23" i="3"/>
  <c r="AF25" i="3"/>
  <c r="AF29" i="3"/>
  <c r="AF33" i="3"/>
  <c r="AF37" i="3"/>
  <c r="AF41" i="3"/>
  <c r="AF45" i="3"/>
  <c r="AF49" i="3"/>
  <c r="AF53" i="3"/>
  <c r="AF57" i="3"/>
  <c r="AF61" i="3"/>
  <c r="AF65" i="3"/>
  <c r="AF69" i="3"/>
  <c r="AF73" i="3"/>
  <c r="AF77" i="3"/>
  <c r="AF81" i="3"/>
  <c r="AF85" i="3"/>
  <c r="AF89" i="3"/>
  <c r="AF93" i="3"/>
  <c r="AF97" i="3"/>
  <c r="AF6" i="3"/>
  <c r="F5" i="3"/>
  <c r="AF101" i="3" l="1"/>
</calcChain>
</file>

<file path=xl/sharedStrings.xml><?xml version="1.0" encoding="utf-8"?>
<sst xmlns="http://schemas.openxmlformats.org/spreadsheetml/2006/main" count="14477" uniqueCount="2420">
  <si>
    <t>L.p.</t>
  </si>
  <si>
    <t>Zawód</t>
  </si>
  <si>
    <t>Symbol cyfrowy zawodu</t>
  </si>
  <si>
    <t>Termin turnusu</t>
  </si>
  <si>
    <t>Symbol kwalifikacji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</si>
  <si>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</si>
  <si>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</si>
  <si>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</si>
  <si>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</si>
  <si>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</si>
  <si>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</si>
  <si>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</si>
  <si>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</si>
  <si>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</si>
  <si>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</si>
  <si>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</si>
  <si>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</si>
  <si>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</si>
  <si>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</si>
  <si>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</si>
  <si>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</si>
  <si>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</si>
  <si>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</si>
  <si>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</si>
  <si>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</si>
  <si>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PLAN TURNUSÓW DOKSZTAŁCANIA TEORETYCZNEGO PRACOWNIKÓW MŁODOCIANYCH </t>
  </si>
  <si>
    <t>Zakładane miejsce realizacji turnusu</t>
  </si>
  <si>
    <t>Liczba uczniów
(STOPIEŃ)</t>
  </si>
  <si>
    <r>
      <rPr>
        <b/>
        <sz val="12"/>
        <color rgb="FFFF0000"/>
        <rFont val="Calibri"/>
        <family val="2"/>
        <charset val="238"/>
        <scheme val="minor"/>
      </rPr>
      <t>ROK SZKOLNY</t>
    </r>
    <r>
      <rPr>
        <b/>
        <sz val="18"/>
        <color rgb="FFFF0000"/>
        <rFont val="Calibri"/>
        <family val="2"/>
        <charset val="238"/>
        <scheme val="minor"/>
      </rPr>
      <t xml:space="preserve"> 2020/2021</t>
    </r>
  </si>
  <si>
    <t>KLASY 2</t>
  </si>
  <si>
    <t>Szkoła wysyłająca</t>
  </si>
  <si>
    <t>KLASY 3</t>
  </si>
  <si>
    <t>Branżowa szkoła I Stopnia w Zespole Szkół Ponadgimnazjalnych im. H.Cegielskiego w Ziębicach</t>
  </si>
  <si>
    <t>stolarz</t>
  </si>
  <si>
    <t>mechanik pojazdów samochodowych</t>
  </si>
  <si>
    <t>CKZ Ziębice</t>
  </si>
  <si>
    <t>fryzjer</t>
  </si>
  <si>
    <t>cukiernik</t>
  </si>
  <si>
    <t>elektryk</t>
  </si>
  <si>
    <t>murarz-tynkarz</t>
  </si>
  <si>
    <t>operator maszyn i urządzeń przemysłu spożywczego</t>
  </si>
  <si>
    <t>CKZ Zielona Góra</t>
  </si>
  <si>
    <t xml:space="preserve">Branżowa Szkoła I Stopnia w POWIATOWYM ZESPOLE SZKÓŁ NR 1 W KRZYŻOWICACH </t>
  </si>
  <si>
    <t>HAN.01.</t>
  </si>
  <si>
    <t>kucharz</t>
  </si>
  <si>
    <t>sprzedawca</t>
  </si>
  <si>
    <t>elektromechanik</t>
  </si>
  <si>
    <t>Branżowa Szkoła I stopnia nr 5 im. Jana Kilińskiego</t>
  </si>
  <si>
    <t>Miejscowość</t>
  </si>
  <si>
    <t>Ziębice</t>
  </si>
  <si>
    <t>Krzyżowice</t>
  </si>
  <si>
    <t>Wrocław</t>
  </si>
  <si>
    <t>blacharz samochodowy</t>
  </si>
  <si>
    <t>elektromechanik pojazdów samochodowych</t>
  </si>
  <si>
    <t>ELE.02.</t>
  </si>
  <si>
    <t>fotograf</t>
  </si>
  <si>
    <t>monter zabudowy i robót wykończeniowych w budownictwie</t>
  </si>
  <si>
    <t>piekarz</t>
  </si>
  <si>
    <t>tapicer</t>
  </si>
  <si>
    <t>Centrum Kształcenia Zawodowego, 58-105 Świdnica  , ul. Gen. Wł. Sikorskiego 41</t>
  </si>
  <si>
    <t>Zespół Placówek Oswiatowych, 32-300 Olkusz, ul. Legionów Polskich 3</t>
  </si>
  <si>
    <t>Centrum Kształcenia Ustawicznego i Praktycznego, 67-400 Wschowa, Plac Kosynierów 1</t>
  </si>
  <si>
    <t>Zespół Szkół Ponadgimnazjalnych, 42-780  Dobrodzień, ul. Oleska 7</t>
  </si>
  <si>
    <t>MOT.01.</t>
  </si>
  <si>
    <t>MOT.02.</t>
  </si>
  <si>
    <t>AUD.02.</t>
  </si>
  <si>
    <t>MOT.03.</t>
  </si>
  <si>
    <t>BUD.11.</t>
  </si>
  <si>
    <t>SPC.03.</t>
  </si>
  <si>
    <t>DRM.04.</t>
  </si>
  <si>
    <t>DRM.05.</t>
  </si>
  <si>
    <t>lakiernik</t>
  </si>
  <si>
    <t>Zespół Szkół Zawodowych i Ogólnokształcących w Kamiennej Górze</t>
  </si>
  <si>
    <t>Kamienna Góra</t>
  </si>
  <si>
    <t>Mechanik pojazdów samochodowych</t>
  </si>
  <si>
    <t>MOT.05.</t>
  </si>
  <si>
    <t xml:space="preserve">Fryzjer </t>
  </si>
  <si>
    <t>FRK.01.</t>
  </si>
  <si>
    <t>Elektromechanik pojazdów samochodowych</t>
  </si>
  <si>
    <t>Sprzedawca</t>
  </si>
  <si>
    <t>Kucharz</t>
  </si>
  <si>
    <t>HGT.02.</t>
  </si>
  <si>
    <t>Operator obrabiarek skrawających</t>
  </si>
  <si>
    <t>MEC.05.</t>
  </si>
  <si>
    <t>Fotograf</t>
  </si>
  <si>
    <t>Blacharz samochodowy</t>
  </si>
  <si>
    <t>BUD.09.</t>
  </si>
  <si>
    <t>Elektryk</t>
  </si>
  <si>
    <t>Piekarz</t>
  </si>
  <si>
    <t xml:space="preserve">Elektromechanik </t>
  </si>
  <si>
    <t>EE.04.</t>
  </si>
  <si>
    <t>Stolarz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</si>
  <si>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</si>
  <si>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</si>
  <si>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</si>
  <si>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</si>
  <si>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</si>
  <si>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</si>
  <si>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</si>
  <si>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</si>
  <si>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</si>
  <si>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Branżowa szkoła I Stopnia w Lubomierzu</t>
  </si>
  <si>
    <t>Lubomierz</t>
  </si>
  <si>
    <t>operator obrabiarek skrawających</t>
  </si>
  <si>
    <t>JCKZ Jelenia Góra</t>
  </si>
  <si>
    <t>CKZ Świdnica</t>
  </si>
  <si>
    <t>BUD.12.</t>
  </si>
  <si>
    <t>Branżowa Szkoła I Stopnia w Powiatowym Zespole Specjalnych Placówek Szkolno-Wychowawczych w Trzebnicy</t>
  </si>
  <si>
    <t>Trzebnica</t>
  </si>
  <si>
    <t>Centum Kształenia Zwodowego w CKZiU,  ul. Tadeusza Kosciuszki 27, 56-100 Wołów</t>
  </si>
  <si>
    <t>Branżowa Szkoła I Stopnia w Strzelinie</t>
  </si>
  <si>
    <t>Strzelin</t>
  </si>
  <si>
    <t xml:space="preserve">Kucharz </t>
  </si>
  <si>
    <t xml:space="preserve">Cukiernik </t>
  </si>
  <si>
    <t>Fryzjer</t>
  </si>
  <si>
    <t xml:space="preserve">Dekarz </t>
  </si>
  <si>
    <t>Centrum Kształcenia Zawodowego i Ustawicznego w Legnicy, ul. Lotnicza 26</t>
  </si>
  <si>
    <t>Centrum Kształcenia Zawodowego w Oleśnicy, ul. Wojska Polskiego 67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</si>
  <si>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</si>
  <si>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</si>
  <si>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</si>
  <si>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</si>
  <si>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</si>
  <si>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</si>
  <si>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</si>
  <si>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</si>
  <si>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</si>
  <si>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</si>
  <si>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</si>
  <si>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</si>
  <si>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</si>
  <si>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</si>
  <si>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</si>
  <si>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</si>
  <si>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</si>
  <si>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</si>
  <si>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</si>
  <si>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Góra</t>
  </si>
  <si>
    <t>magazynier-logistyk III</t>
  </si>
  <si>
    <t>Branżowa Szkoła I Stopnia Nr2 w Oławie</t>
  </si>
  <si>
    <t>Oława</t>
  </si>
  <si>
    <t>Powiatowe Centrum Kształcenia Zawodowego w Oleśnicy</t>
  </si>
  <si>
    <t xml:space="preserve">Branżowa szkoła I Stopnia Nr 1  w Powiatowym Zespole Szkół nr 1 </t>
  </si>
  <si>
    <t>Środa Śląska</t>
  </si>
  <si>
    <t>Monter sieci i instalacji sanitarnych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</si>
  <si>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</si>
  <si>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</si>
  <si>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</si>
  <si>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</si>
  <si>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</si>
  <si>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</si>
  <si>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</si>
  <si>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</si>
  <si>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</si>
  <si>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</si>
  <si>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</si>
  <si>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</si>
  <si>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</si>
  <si>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</si>
  <si>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</si>
  <si>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</si>
  <si>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</si>
  <si>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</si>
  <si>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</si>
  <si>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</si>
  <si>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</si>
  <si>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</si>
  <si>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</si>
  <si>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</si>
  <si>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</si>
  <si>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</si>
  <si>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</si>
  <si>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</si>
  <si>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 xml:space="preserve">Branżowa Szkoła I stopnia w Zespole Szkół Zawodowych im. Stanisława Staszica </t>
  </si>
  <si>
    <t>Ząbkowice Śląskie</t>
  </si>
  <si>
    <t>murarz tynkarz</t>
  </si>
  <si>
    <t>77.</t>
  </si>
  <si>
    <t>78.</t>
  </si>
  <si>
    <t>79.</t>
  </si>
  <si>
    <t>80.</t>
  </si>
  <si>
    <t>81.</t>
  </si>
  <si>
    <t>82.</t>
  </si>
  <si>
    <t>ELE.01.</t>
  </si>
  <si>
    <t>SPC.01.</t>
  </si>
  <si>
    <t>BUD.03.</t>
  </si>
  <si>
    <t>MEC.08.</t>
  </si>
  <si>
    <t>ROL.02.</t>
  </si>
  <si>
    <t>Branżowa Szkoła I Stopnia im. Stanisława Staszica w Nowej Rudzie</t>
  </si>
  <si>
    <t>Nowa Ruda</t>
  </si>
  <si>
    <t>monter stolarki budowlanej po gimnazjum</t>
  </si>
  <si>
    <t>monter stolarki budowlanej</t>
  </si>
  <si>
    <t>Centrum Kształcenia Zawodowego Cechu Rzemiosł Różnych i Małej Przedsiębiorczości w Bielawie</t>
  </si>
  <si>
    <t>Bielawa</t>
  </si>
  <si>
    <t>pracownik obsługi hotelowej</t>
  </si>
  <si>
    <t>HGT.03.</t>
  </si>
  <si>
    <t>Zespół Szkół i Placówek Kształcenia Zawodowego w Zielonej Górze</t>
  </si>
  <si>
    <t>BD.14.</t>
  </si>
  <si>
    <t>AU.21.</t>
  </si>
  <si>
    <t>monter sieci i instalacji sanitarnych</t>
  </si>
  <si>
    <t>BD.05.</t>
  </si>
  <si>
    <t>AU.20.</t>
  </si>
  <si>
    <t>MG.18.</t>
  </si>
  <si>
    <t>BD.04.</t>
  </si>
  <si>
    <t>TG.07.</t>
  </si>
  <si>
    <t>AU.15.</t>
  </si>
  <si>
    <t>EE.05.</t>
  </si>
  <si>
    <t>ślusarz</t>
  </si>
  <si>
    <t>MG.20.</t>
  </si>
  <si>
    <t xml:space="preserve">lakiernik </t>
  </si>
  <si>
    <t>MG.27.</t>
  </si>
  <si>
    <t>Branżowa szkoła I Stopnia w Twardogórze</t>
  </si>
  <si>
    <t>Twardogóra</t>
  </si>
  <si>
    <t>CKZ KROTOSZYN</t>
  </si>
  <si>
    <t>ZSP Syców</t>
  </si>
  <si>
    <t>Syców</t>
  </si>
  <si>
    <t>Cukiernik</t>
  </si>
  <si>
    <t>Elektronik</t>
  </si>
  <si>
    <t>Ślusarz</t>
  </si>
  <si>
    <t>Tapicer</t>
  </si>
  <si>
    <t>Ośrodek Dokształcania i Doskonalenia Zawodowego w Krotoszynie</t>
  </si>
  <si>
    <t>Monter zabudowy i robót wykończeniowych w budownictwie</t>
  </si>
  <si>
    <t>ELM.02.</t>
  </si>
  <si>
    <t>Złotnik - Jubiler</t>
  </si>
  <si>
    <t>MEP.05.</t>
  </si>
  <si>
    <t>BS I S w Zespole Szkół Ogólnokształcących i Zawodowych im. Jana Pawła II w Gryfowie Ślaskim</t>
  </si>
  <si>
    <t>Gryfów Śląski</t>
  </si>
  <si>
    <t>kelner</t>
  </si>
  <si>
    <t>HGT.01.</t>
  </si>
  <si>
    <t>JCKZ w Zespole Szkół Licealnych i Zawodowych Nr 2 im. Stanisława Staszica w Jeleniej Górze, ul.1 Maja 39/41</t>
  </si>
  <si>
    <t>Centrum Kształcenia Zawodowego w Świdnicy, ul.Gen. Wł. Sikorskiego 41</t>
  </si>
  <si>
    <t>Branżowa szkoła I Stopnia w Zespole Szkół im. Narodów Zjednoczonej Europy w Polkowicach</t>
  </si>
  <si>
    <t>Polkowice</t>
  </si>
  <si>
    <t>MG.12.</t>
  </si>
  <si>
    <t>FRYZJER</t>
  </si>
  <si>
    <t xml:space="preserve">Branżowa Szkoła I Stopnia w  Zespole Szkół Zawodowych w Wołowie </t>
  </si>
  <si>
    <t>Wołów</t>
  </si>
  <si>
    <t>betoniarz-zbrojarz</t>
  </si>
  <si>
    <t>CKZ Wołów</t>
  </si>
  <si>
    <t>PZS Nr 2 Trzebnica</t>
  </si>
  <si>
    <t>Elektromechanik</t>
  </si>
  <si>
    <t>Lakiernik samochodowy</t>
  </si>
  <si>
    <t>Mechanik-operator pojazdów i maszyn rolniczych</t>
  </si>
  <si>
    <t>MG.03.</t>
  </si>
  <si>
    <t>Murarz-tynkarz</t>
  </si>
  <si>
    <t>MG.19.</t>
  </si>
  <si>
    <t>Pracownik pomocniczy obsługi hotelowej</t>
  </si>
  <si>
    <t>TG.01.</t>
  </si>
  <si>
    <t>Rolnik</t>
  </si>
  <si>
    <t>Blacharz</t>
  </si>
  <si>
    <t>HGT.05.</t>
  </si>
  <si>
    <t>Branżowa szkoła I stopnia w Chocianowie</t>
  </si>
  <si>
    <t>Chocianów</t>
  </si>
  <si>
    <t>Legnica</t>
  </si>
  <si>
    <t>Jawor</t>
  </si>
  <si>
    <t>Wschowa</t>
  </si>
  <si>
    <t>Branżowa Szkoła I Stopnia w Świdnicy</t>
  </si>
  <si>
    <t>Świdnica</t>
  </si>
  <si>
    <t>Branżowa szkoła I Stopnia w Rakowicach Wielkich</t>
  </si>
  <si>
    <t>Rakowice Wielkie</t>
  </si>
  <si>
    <t>Branżowa szkoła I Stopnia w Zespole Szkół Handlowych i Usługowych im.Jana Kochanowskiego</t>
  </si>
  <si>
    <t>Jelenia Góra</t>
  </si>
  <si>
    <t>AU.23.</t>
  </si>
  <si>
    <t>TG.03.</t>
  </si>
  <si>
    <t>elektronik</t>
  </si>
  <si>
    <t>Zespół Szkół Specjalnych w Żmigrodzie</t>
  </si>
  <si>
    <t>Żmigród</t>
  </si>
  <si>
    <t>Branżowa szkoła I Stopnia w Powiatowym Centrum Kształcenia Zawodowego i Ustawicznego im. KEN w Jaworze</t>
  </si>
  <si>
    <t>Wędliniarz</t>
  </si>
  <si>
    <t>Przetwórca mięsa</t>
  </si>
  <si>
    <t>Magazynier-logistyk</t>
  </si>
  <si>
    <t>Branżowa Szkoła I Stopnia w Zespole Szkół Licealnych i Zawodowych nr 2</t>
  </si>
  <si>
    <t>Branżowa Szkoła I Stopnia w Zespole Szkół Nr 1 w Lubinie</t>
  </si>
  <si>
    <t>Lubin</t>
  </si>
  <si>
    <t>rolnik</t>
  </si>
  <si>
    <t>Powiatowy Zespół Szkół w Chojnowie</t>
  </si>
  <si>
    <t>Chojnów</t>
  </si>
  <si>
    <t>Branżowa szkoła I Stopnia w Zgorzelcu</t>
  </si>
  <si>
    <t>Zgorzelec</t>
  </si>
  <si>
    <t xml:space="preserve">cukiernik </t>
  </si>
  <si>
    <t xml:space="preserve">kucharz </t>
  </si>
  <si>
    <t xml:space="preserve">mechanik monter maszyn i urządzeń </t>
  </si>
  <si>
    <t>SPL.01.</t>
  </si>
  <si>
    <t>MEC.03.</t>
  </si>
  <si>
    <t>Centrum Kształcenia  Zawodowego  przy  ZSM w Głubczycach</t>
  </si>
  <si>
    <t>Branżowa Szkoła I Stopnia w Żarowie</t>
  </si>
  <si>
    <t>Żarów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</si>
  <si>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</si>
  <si>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</si>
  <si>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</si>
  <si>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</si>
  <si>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</si>
  <si>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</si>
  <si>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</si>
  <si>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</si>
  <si>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</si>
  <si>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</si>
  <si>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</si>
  <si>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</si>
  <si>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</si>
  <si>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</si>
  <si>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</si>
  <si>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</si>
  <si>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</si>
  <si>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</si>
  <si>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</si>
  <si>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</si>
  <si>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</si>
  <si>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</si>
  <si>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</si>
  <si>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</si>
  <si>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</si>
  <si>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</si>
  <si>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</si>
  <si>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</si>
  <si>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</si>
  <si>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</si>
  <si>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</si>
  <si>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</si>
  <si>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</si>
  <si>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</si>
  <si>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</si>
  <si>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</si>
  <si>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</si>
  <si>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</si>
  <si>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</si>
  <si>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</si>
  <si>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</si>
  <si>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</si>
  <si>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</si>
  <si>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</si>
  <si>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</si>
  <si>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</si>
  <si>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</si>
  <si>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</si>
  <si>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</si>
  <si>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</si>
  <si>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</si>
  <si>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</si>
  <si>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</si>
  <si>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</si>
  <si>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</si>
  <si>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</si>
  <si>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</si>
  <si>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</si>
  <si>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</si>
  <si>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</si>
  <si>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</si>
  <si>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</si>
  <si>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</si>
  <si>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</si>
  <si>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</si>
  <si>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</si>
  <si>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</si>
  <si>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</si>
  <si>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</si>
  <si>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</si>
  <si>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</si>
  <si>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</si>
  <si>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</si>
  <si>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</si>
  <si>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</si>
  <si>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</si>
  <si>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</si>
  <si>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</si>
  <si>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</si>
  <si>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</si>
  <si>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</si>
  <si>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</si>
  <si>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</si>
  <si>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</si>
  <si>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</si>
  <si>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</si>
  <si>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</si>
  <si>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</si>
  <si>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</si>
  <si>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</si>
  <si>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</si>
  <si>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</si>
  <si>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</si>
  <si>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</si>
  <si>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</si>
  <si>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</si>
  <si>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</si>
  <si>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</si>
  <si>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</si>
  <si>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</si>
  <si>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</si>
  <si>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</si>
  <si>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</si>
  <si>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</si>
  <si>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</si>
  <si>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</si>
  <si>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</si>
  <si>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</si>
  <si>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</si>
  <si>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</si>
  <si>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</si>
  <si>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</si>
  <si>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</si>
  <si>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</si>
  <si>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</si>
  <si>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</si>
  <si>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</si>
  <si>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</si>
  <si>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</si>
  <si>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</si>
  <si>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</si>
  <si>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</si>
  <si>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</si>
  <si>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</si>
  <si>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</si>
  <si>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</si>
  <si>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</si>
  <si>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</si>
  <si>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</si>
  <si>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</si>
  <si>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</si>
  <si>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</si>
  <si>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</si>
  <si>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</si>
  <si>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</si>
  <si>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</si>
  <si>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</si>
  <si>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</si>
  <si>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</si>
  <si>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</si>
  <si>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</si>
  <si>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</si>
  <si>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</si>
  <si>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</si>
  <si>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</si>
  <si>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</si>
  <si>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</si>
  <si>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</si>
  <si>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</si>
  <si>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</si>
  <si>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</si>
  <si>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</si>
  <si>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</si>
  <si>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</si>
  <si>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</si>
  <si>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</si>
  <si>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</si>
  <si>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</si>
  <si>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</si>
  <si>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</si>
  <si>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</si>
  <si>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</si>
  <si>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</si>
  <si>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</si>
  <si>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</si>
  <si>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</si>
  <si>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</si>
  <si>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</si>
  <si>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</si>
  <si>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</si>
  <si>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</si>
  <si>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</si>
  <si>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</si>
  <si>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</si>
  <si>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</si>
  <si>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</si>
  <si>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</si>
  <si>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</si>
  <si>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</si>
  <si>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</si>
  <si>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</si>
  <si>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</si>
  <si>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</si>
  <si>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</si>
  <si>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</si>
  <si>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</si>
  <si>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</si>
  <si>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</si>
  <si>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</si>
  <si>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</si>
  <si>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</si>
  <si>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</si>
  <si>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</si>
  <si>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</si>
  <si>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</si>
  <si>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</si>
  <si>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</si>
  <si>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</si>
  <si>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</si>
  <si>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</si>
  <si>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</si>
  <si>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</si>
  <si>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</si>
  <si>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</si>
  <si>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</si>
  <si>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</si>
  <si>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</si>
  <si>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</si>
  <si>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</si>
  <si>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Branżowa szkoła I Stopnia w Kudowie-Zdoju</t>
  </si>
  <si>
    <t>Kudowa_Zdrój</t>
  </si>
  <si>
    <t>Branżowa szkoła I Stopnia w Dzierżoniowie</t>
  </si>
  <si>
    <t>Dzierżoniów</t>
  </si>
  <si>
    <t>Centrum Kształcenia Zawodowego Cechu Rzemiosł Różnych i Małej Przedsiębiorczości, ul. Polna 2, 58-260 Bielawa.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</si>
  <si>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</si>
  <si>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</si>
  <si>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</si>
  <si>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</si>
  <si>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</si>
  <si>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</si>
  <si>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</si>
  <si>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</si>
  <si>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</si>
  <si>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</si>
  <si>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</si>
  <si>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</si>
  <si>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</si>
  <si>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</si>
  <si>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</si>
  <si>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</si>
  <si>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</si>
  <si>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 xml:space="preserve">Branżowa szkoła I Stopnia w Zespole Szkół Technicznych "Mechanik" </t>
  </si>
  <si>
    <t>Kierowca mechanik</t>
  </si>
  <si>
    <t>Operator maszyn i urządzeń do obróbki tw.sztucznych</t>
  </si>
  <si>
    <t>TDR.01.</t>
  </si>
  <si>
    <t>Lakiernik</t>
  </si>
  <si>
    <t>Branżowa Szkoła I Stopnia w Zespole Szkół Zawodowych i Ogólnokształcących im. KZL</t>
  </si>
  <si>
    <t>Lubań</t>
  </si>
  <si>
    <t>Drukarz offsetowy</t>
  </si>
  <si>
    <t>Drukarz</t>
  </si>
  <si>
    <t>Zespół Szkół im. A.Wodziczki w Mosinie</t>
  </si>
  <si>
    <t>Branżowa szkoła I Stopnia nr 1 w ZSTiO w Głogowie</t>
  </si>
  <si>
    <t>Głogów</t>
  </si>
  <si>
    <t>Branżowa Szkoła I Stopnia w KSP w Kłodzku</t>
  </si>
  <si>
    <t>Kłodzko</t>
  </si>
  <si>
    <t>Branżowa Szkoła I stopnia nr 1 w Zespole Szkół Zawodowych im. Marii Skłodowskiej - Curie w Oleśnicy</t>
  </si>
  <si>
    <t>Oleśnica</t>
  </si>
  <si>
    <t>mechanik monter maszyn i urządzeń</t>
  </si>
  <si>
    <t>Zespół Szkół w Strzegomiu</t>
  </si>
  <si>
    <t>Strzegom</t>
  </si>
  <si>
    <t xml:space="preserve">Kamieniarz </t>
  </si>
  <si>
    <t>BUD.04.</t>
  </si>
  <si>
    <t>Branżowa Szkoła I stopnia Cechu Rzemiosł Różnych i Małej Przedsiębiorczości w Ząbkowicach Śląskich</t>
  </si>
  <si>
    <t xml:space="preserve">KUCHARZ </t>
  </si>
  <si>
    <t xml:space="preserve">ELEKTROMECHANIK </t>
  </si>
  <si>
    <t xml:space="preserve">ROLNIK </t>
  </si>
  <si>
    <t>ROL.04.</t>
  </si>
  <si>
    <t>MOD.03.</t>
  </si>
  <si>
    <t>Branżowa Szkoła I Stopnia im. św. Barbary w Zespole Szkół Zawodowych w Bogatyni</t>
  </si>
  <si>
    <t>Bogatynia</t>
  </si>
  <si>
    <t>ogrodnik</t>
  </si>
  <si>
    <t>Zespół Szkół i Placówek Kształcenia Zawodowego Centrum Kształcenia Zawodowego w Zielonej Górze</t>
  </si>
  <si>
    <t>Branżowa Szkoła im. KEN w Brzegu Dolnym</t>
  </si>
  <si>
    <t>Brzeg Dolny</t>
  </si>
  <si>
    <t>krawiec</t>
  </si>
  <si>
    <t>OGR.02.</t>
  </si>
  <si>
    <t>magazynier-logistyk</t>
  </si>
  <si>
    <t>operator urządzeń przemysłu chemicznego</t>
  </si>
  <si>
    <t>CHM.02.</t>
  </si>
  <si>
    <t>Branżowa Szkoła I Stopnia w Bystrzycy Kłodzkiej</t>
  </si>
  <si>
    <t>Bystrzyca Kłodzka</t>
  </si>
  <si>
    <t>Monter stolarki budowlanej</t>
  </si>
  <si>
    <t>Centrum Kształcenia Zawodowego przy ZSP w Dobrodzieniu</t>
  </si>
  <si>
    <t>Centrum Kształcenia Zawodowego przy Zespole Szkół Im. Adama Wodziczki w Mosinie</t>
  </si>
  <si>
    <t>Bolesławiec</t>
  </si>
  <si>
    <t>Jelcz_Laskowice</t>
  </si>
  <si>
    <t xml:space="preserve">Szkoła Wielobranżowa w Bielawie </t>
  </si>
  <si>
    <t>Zespół Szkół im. Ireny Sendler w Przemkowie Branżowa Szkoła I Stopnia</t>
  </si>
  <si>
    <t>Przemków</t>
  </si>
  <si>
    <t xml:space="preserve"> Dekarz</t>
  </si>
  <si>
    <t xml:space="preserve"> Głogowskie Centrum Kształcenia Zawodowego w Głogowie</t>
  </si>
  <si>
    <t>Branżowa szkoła I Stopnia w Międzyborzu</t>
  </si>
  <si>
    <t>Międzybórz</t>
  </si>
  <si>
    <t>MG.24.</t>
  </si>
  <si>
    <t>AU.12.</t>
  </si>
  <si>
    <t>wędliniarz</t>
  </si>
  <si>
    <t>TG.05.</t>
  </si>
  <si>
    <t>Centrum Kształcenia Zawodowego w Krotoszynie</t>
  </si>
  <si>
    <t>Branżowa Szkoła I Stopnia w Świdnicy - Rzemieślnik</t>
  </si>
  <si>
    <t>BRANŻOWA SZKOŁA I STOPNIA -ZSO KOWARY</t>
  </si>
  <si>
    <t>Kowary</t>
  </si>
  <si>
    <t xml:space="preserve">fryzjer </t>
  </si>
  <si>
    <t>Branżowa Szkoła I Stopnia w Rakowicach Wielkich</t>
  </si>
  <si>
    <t>GCKZ Głogów</t>
  </si>
  <si>
    <t>Św</t>
  </si>
  <si>
    <t>JG</t>
  </si>
  <si>
    <t>K</t>
  </si>
  <si>
    <t>Z</t>
  </si>
  <si>
    <t>Zespół Szkół w Otmuchowie</t>
  </si>
  <si>
    <t>Otmuchów</t>
  </si>
  <si>
    <t>Zespół Szkół w Paczkowie</t>
  </si>
  <si>
    <t>Paczków</t>
  </si>
  <si>
    <t>G</t>
  </si>
  <si>
    <t>Centrum Kształcenia Zawodowego w Kłodzkiej Szkole Przedsiębiorczości w Kłodzku</t>
  </si>
  <si>
    <t>Zespół Placówek Oświatowych Centrum Kształcenia Zawodowego nr 2 w Olkuszu, ul. Legionów Polskich 3</t>
  </si>
  <si>
    <t>Nazwa zawodu</t>
  </si>
  <si>
    <t>Betoniarz-zbrojarz</t>
  </si>
  <si>
    <t>Cieśla</t>
  </si>
  <si>
    <t>Dekarz</t>
  </si>
  <si>
    <t>Kamieniarz</t>
  </si>
  <si>
    <t>Kominiarz</t>
  </si>
  <si>
    <t>Monter izolacji budowlanych</t>
  </si>
  <si>
    <t>Monter izolacji przemysłowych</t>
  </si>
  <si>
    <t>Monter konstrukcji budowlanych</t>
  </si>
  <si>
    <t>Operator maszyn i urządzeń do robót ziemnych i drogowych</t>
  </si>
  <si>
    <t>Zdun</t>
  </si>
  <si>
    <t>Operator urządzeń przemysłu ceramicznego</t>
  </si>
  <si>
    <t>Operator urządzeń przemysłu szklarskiego</t>
  </si>
  <si>
    <t>Zdobnik ceramik</t>
  </si>
  <si>
    <t>Operator maszyn i urządzeń do przetwórstwa tworzyw sztucznych</t>
  </si>
  <si>
    <t>Operator urządzeń przemysłu chemicznego</t>
  </si>
  <si>
    <t>Koszykarz-plecionkarz</t>
  </si>
  <si>
    <t>Mechanik-operator maszyn do produkcji drzewnej</t>
  </si>
  <si>
    <t>Pracownik pomocniczy stolarza</t>
  </si>
  <si>
    <t>Automatyk</t>
  </si>
  <si>
    <t>Mechatronik</t>
  </si>
  <si>
    <t>Pracownik pomocniczy fryzjera</t>
  </si>
  <si>
    <t>Górnik eksploatacji otworowej</t>
  </si>
  <si>
    <t>Górnik eksploatacji podziemnej</t>
  </si>
  <si>
    <t>Górnik odkrywkowej eksploatacji złóż</t>
  </si>
  <si>
    <t>Górnik podziemnej eksploatacji kopalin innych niż węgiel kamienny</t>
  </si>
  <si>
    <t>Operator maszyn i urządzeń przeróbczych</t>
  </si>
  <si>
    <t>Wiertacz</t>
  </si>
  <si>
    <t>Kelner</t>
  </si>
  <si>
    <t>Pracownik obsługi hotelowej</t>
  </si>
  <si>
    <t>Pracownik pomocniczy gastronomii</t>
  </si>
  <si>
    <t>Operator maszyn leśnych</t>
  </si>
  <si>
    <t>Kowal</t>
  </si>
  <si>
    <t>Mechanik-monter maszyn i urządzeń</t>
  </si>
  <si>
    <t>Monter systemów rurociągowych</t>
  </si>
  <si>
    <t>Pracownik pomocniczy mechanika</t>
  </si>
  <si>
    <t>Pracownik pomocniczy ślusarza</t>
  </si>
  <si>
    <t>Mechanik precyzyjny</t>
  </si>
  <si>
    <t>Optyk-mechanik</t>
  </si>
  <si>
    <t>Zegarmistrz</t>
  </si>
  <si>
    <t>Złotnik-jubiler</t>
  </si>
  <si>
    <t>Modelarz odlewniczy</t>
  </si>
  <si>
    <t>Operator maszyn i urządzeń odlewniczych</t>
  </si>
  <si>
    <t>Operator maszyn i urządzeń przemysłu metalurgicznego</t>
  </si>
  <si>
    <t>Mechanik motocyklowy</t>
  </si>
  <si>
    <t>Ogrodnik</t>
  </si>
  <si>
    <t>Drukarz fleksograficzny</t>
  </si>
  <si>
    <t>Operator procesów introligatorskich</t>
  </si>
  <si>
    <t>Garbarz skór</t>
  </si>
  <si>
    <t>Kaletnik</t>
  </si>
  <si>
    <t>Krawiec</t>
  </si>
  <si>
    <t>Kuśnierz</t>
  </si>
  <si>
    <t>Obuwnik</t>
  </si>
  <si>
    <t>Operator maszyn w przemyśle włókienniczym</t>
  </si>
  <si>
    <t>Pracownik pomocniczy krawca</t>
  </si>
  <si>
    <t>Rękodzielnik wyrobów włókienniczych</t>
  </si>
  <si>
    <t>Jeździec</t>
  </si>
  <si>
    <t>Pszczelarz</t>
  </si>
  <si>
    <t>Rybak śródlądowy</t>
  </si>
  <si>
    <t>Operator maszyn i urządzeń przemysłu spożywczego</t>
  </si>
  <si>
    <t>Przetwórca ryb</t>
  </si>
  <si>
    <t>Monter sieci i urządzeń telekomunikacyjnych</t>
  </si>
  <si>
    <t>Monter nawierzchni kolejowej</t>
  </si>
  <si>
    <t>Mechanik pojazdów kolejowych</t>
  </si>
  <si>
    <t>Monter budownictwa wodnego</t>
  </si>
  <si>
    <t>Monter jachtów i łodzi</t>
  </si>
  <si>
    <t>Monter kadłubów jednostek pływających</t>
  </si>
  <si>
    <t xml:space="preserve">Symbol </t>
  </si>
  <si>
    <t>Kwalifikacja</t>
  </si>
  <si>
    <t>Centrum Kształcenia Zawodowego</t>
  </si>
  <si>
    <t>Zgłoszonych</t>
  </si>
  <si>
    <t>Zielona Góra</t>
  </si>
  <si>
    <t>Dobrodzień</t>
  </si>
  <si>
    <t>Kluczbork</t>
  </si>
  <si>
    <t>Krotoszyn</t>
  </si>
  <si>
    <t>Olkusz</t>
  </si>
  <si>
    <t>Głubczyce</t>
  </si>
  <si>
    <t>K. Koźle</t>
  </si>
  <si>
    <t> Rejestracja, obróbka i publikacja obrazu</t>
  </si>
  <si>
    <t>Wykonywanie robót zbrojarskich i betoniarskich</t>
  </si>
  <si>
    <t>BUD.01. </t>
  </si>
  <si>
    <t>Wykonywanie robót ciesielskich</t>
  </si>
  <si>
    <t>BUD.02. </t>
  </si>
  <si>
    <t>Wykonywanie robót dekarsko-blacharskich</t>
  </si>
  <si>
    <t>BUD.03. </t>
  </si>
  <si>
    <t> Wykonywanie robót kamieniarskich</t>
  </si>
  <si>
    <t> Wykonywanie robót kominiarskich</t>
  </si>
  <si>
    <t>BUD.05.</t>
  </si>
  <si>
    <t> Wykonywanie izolacji budowlanych</t>
  </si>
  <si>
    <t>BUD.06.</t>
  </si>
  <si>
    <t> Wykonywanie płaszczy ochronnych z blachy, konstrukcji wsporczych i nośnych oraz izolacji przemysłowych</t>
  </si>
  <si>
    <t>BUD.07.</t>
  </si>
  <si>
    <t> Montaż konstrukcji budowlanych</t>
  </si>
  <si>
    <t>BUD.08.</t>
  </si>
  <si>
    <t>Wykonywanie robót związanych z budową, montażem i eksploatacją sieci oraz instalacji sanitarnych</t>
  </si>
  <si>
    <t>BUD.09. </t>
  </si>
  <si>
    <t>Wykonywanie robót związanych z montażem stolarki budowlanej</t>
  </si>
  <si>
    <t>BUD.10. </t>
  </si>
  <si>
    <t> Wykonywanie robót montażowych, okładzinowych i wykończeniowych</t>
  </si>
  <si>
    <t> Wykonywanie robót murarskich i tynkarskich</t>
  </si>
  <si>
    <t> Eksploatacja maszyn i urządzeń do robót ziemnych i drogowych</t>
  </si>
  <si>
    <t>BUD.13.</t>
  </si>
  <si>
    <t>Wykonywanie robót zduńskich</t>
  </si>
  <si>
    <t>BUD.26. </t>
  </si>
  <si>
    <t> Eksploatacja maszyn i urządzeń przemysłu ceramicznego</t>
  </si>
  <si>
    <t>CES.01.</t>
  </si>
  <si>
    <t> Eksploatacja maszyn i urządzeń przemysłu szklarskiego</t>
  </si>
  <si>
    <t>CES.02.</t>
  </si>
  <si>
    <r>
      <t xml:space="preserve"> </t>
    </r>
    <r>
      <rPr>
        <sz val="8"/>
        <color rgb="FFFF0000"/>
        <rFont val="Calibri"/>
        <family val="2"/>
        <charset val="238"/>
        <scheme val="minor"/>
      </rPr>
      <t>Zdobienie wyrobów ceramicznych</t>
    </r>
  </si>
  <si>
    <t>CES.05.</t>
  </si>
  <si>
    <t>Obsługa maszyn i urządzeń do przetwórstwa tworzyw sztucznych</t>
  </si>
  <si>
    <t>CHM.01. </t>
  </si>
  <si>
    <t>Eksploatacja maszyn i urządzeń przemysłu chemicznego</t>
  </si>
  <si>
    <t>CHM.02. </t>
  </si>
  <si>
    <t> Wykonywanie wyrobów koszykarsko-plecionkarskich</t>
  </si>
  <si>
    <t>DRM.01.</t>
  </si>
  <si>
    <t> Montaż i obsługa maszyn i urządzeń przemysłu drzewnego</t>
  </si>
  <si>
    <t>DRM.02.</t>
  </si>
  <si>
    <t>Wytwarzanie prostych wyrobów z drewna i materiałów drewnopochodnych</t>
  </si>
  <si>
    <t>DRM.03. </t>
  </si>
  <si>
    <t> Wytwarzanie wyrobów z drewna i materiałów drewnopochodnych</t>
  </si>
  <si>
    <t>Wykonywanie wyrobów tapicerowanych</t>
  </si>
  <si>
    <t>DRM.05. </t>
  </si>
  <si>
    <t> Montaż i obsługa maszyn i urządzeń elektrycznych</t>
  </si>
  <si>
    <t>Montaż, uruchamianie i konserwacja instalacji, maszyn i urządzeń elektrycznych</t>
  </si>
  <si>
    <t>ELE.02. </t>
  </si>
  <si>
    <t>Montaż, uruchamianie i obsługiwanie układów automatyki przemysłowej</t>
  </si>
  <si>
    <t>ELM.01. </t>
  </si>
  <si>
    <t>Montaż oraz instalowanie układów i urządzeń elektronicznych</t>
  </si>
  <si>
    <t>ELM.02. </t>
  </si>
  <si>
    <t>Montaż, uruchamianie i konserwacja urządzeń i systemów mechatronicznych</t>
  </si>
  <si>
    <t>ELM.03. </t>
  </si>
  <si>
    <t>Wykonywanie usług fryzjerskich</t>
  </si>
  <si>
    <t>FRK.01. </t>
  </si>
  <si>
    <t>Wykonywanie fryzjerskich prac pomocniczych</t>
  </si>
  <si>
    <t>FRK.02. </t>
  </si>
  <si>
    <t>Eksploatacja otworowa złóż</t>
  </si>
  <si>
    <t>GIW.01. </t>
  </si>
  <si>
    <t> Eksploatacja podziemna złóż</t>
  </si>
  <si>
    <t>GIW.02.</t>
  </si>
  <si>
    <t> Eksploatacja złóż metodą odkrywkową</t>
  </si>
  <si>
    <t>GIW.03.</t>
  </si>
  <si>
    <t>Eksploatacja podziemna kopalin innych niż węgiel kamienny</t>
  </si>
  <si>
    <t>GIW.04. </t>
  </si>
  <si>
    <t>Obsługa maszyn i urządzeń do przeróbki mechanicznej kopalin</t>
  </si>
  <si>
    <t>GIW.05. </t>
  </si>
  <si>
    <t> Wykonywanie prac wiertniczych</t>
  </si>
  <si>
    <t>GIW.12.</t>
  </si>
  <si>
    <t>Wykonywanie usług kelnerskich</t>
  </si>
  <si>
    <t>HGT.01. </t>
  </si>
  <si>
    <t>Prowadzenie sprzedaży</t>
  </si>
  <si>
    <t>HAN.01. </t>
  </si>
  <si>
    <t> Przygotowanie i wydawanie dań</t>
  </si>
  <si>
    <t>Obsługa gości w obiekcie świadczącym usługi hotelarskie</t>
  </si>
  <si>
    <t>HGT.03. </t>
  </si>
  <si>
    <t> Wykonywanie prac pomocniczych w obiektach świadczących usługi gastronomiczne</t>
  </si>
  <si>
    <t>HGT.04.</t>
  </si>
  <si>
    <t>Wykonywanie prac pomocniczych w obiektach świadczących usługi hotelarskie</t>
  </si>
  <si>
    <t>HGT.05. </t>
  </si>
  <si>
    <t> Obsługa maszyn stosowanych w gospodarce leśnej</t>
  </si>
  <si>
    <t>LES.01.</t>
  </si>
  <si>
    <t>Wykonywanie i naprawa wyrobów z blachy i profili kształtowych</t>
  </si>
  <si>
    <t>MEC.01. </t>
  </si>
  <si>
    <t>Wykonywanie i naprawa wyrobów kowalskich</t>
  </si>
  <si>
    <t>MEC.02. </t>
  </si>
  <si>
    <t>Montaż i obsługa maszyn i urządzeń</t>
  </si>
  <si>
    <t>MEC.03. </t>
  </si>
  <si>
    <t>Montaż systemów rurociągowych</t>
  </si>
  <si>
    <t>MEC.04. </t>
  </si>
  <si>
    <t> Użytkowanie obrabiarek skrawających</t>
  </si>
  <si>
    <t> Montaż i obsługa prostych elementów maszyn i urządzeń</t>
  </si>
  <si>
    <t>MEC.06.</t>
  </si>
  <si>
    <t> Wykonywanie i naprawa elementów wyrobów oraz prostych części maszyn, urządzeń i narzędzi</t>
  </si>
  <si>
    <t>MEC.07.</t>
  </si>
  <si>
    <t>Wykonywanie i montaż elementów kadłuba jednostek pływających</t>
  </si>
  <si>
    <t>TWO.03. </t>
  </si>
  <si>
    <t>Montaż konstrukcji i wyposażenia jachtów i łodzi</t>
  </si>
  <si>
    <t>TWO.02. </t>
  </si>
  <si>
    <t>Wykonywanie robót regulacyjnych i hydrotechnicznych</t>
  </si>
  <si>
    <t>TWO.01. </t>
  </si>
  <si>
    <r>
      <t xml:space="preserve"> </t>
    </r>
    <r>
      <rPr>
        <sz val="8"/>
        <color rgb="FFFF0000"/>
        <rFont val="Calibri"/>
        <family val="2"/>
        <charset val="238"/>
        <scheme val="minor"/>
      </rPr>
      <t>Wykonywanie robót związanych z utrzymaniem i naprawą pojazdów kolejowych</t>
    </r>
  </si>
  <si>
    <t>TKO.09.</t>
  </si>
  <si>
    <t> Wykonywanie i utrzymywanie nawierzchni kolejowej i podtorza</t>
  </si>
  <si>
    <t>TKO.01.</t>
  </si>
  <si>
    <t> Eksploatacja środków transportu drogowego</t>
  </si>
  <si>
    <t> Montaż i utrzymanie torów telekomunikacyjnych oraz urządzeń abonenckich</t>
  </si>
  <si>
    <t>INF.01.</t>
  </si>
  <si>
    <t>Obróbka ryb i produkcja przetworów rybnych</t>
  </si>
  <si>
    <t>SPC.05. </t>
  </si>
  <si>
    <t> Produkcja przetworów mięsnych i tłuszczowych</t>
  </si>
  <si>
    <t>SPC.04.</t>
  </si>
  <si>
    <t>Produkcja wyrobów piekarskich</t>
  </si>
  <si>
    <t>SPC.03. </t>
  </si>
  <si>
    <t>Produkcja wyrobów spożywczych z wykorzystaniem maszyn i urządzeń</t>
  </si>
  <si>
    <t>SPC.02. </t>
  </si>
  <si>
    <t>Produkcja wyrobów cukierniczych</t>
  </si>
  <si>
    <t>SPC.01. </t>
  </si>
  <si>
    <t>Obsługa magazynów</t>
  </si>
  <si>
    <t>SPL.01. </t>
  </si>
  <si>
    <t>Wykonywanie prac rybackich w akwakulturze oraz rybackie użytkowanie wód śródlądowych</t>
  </si>
  <si>
    <t>RYB.01. </t>
  </si>
  <si>
    <t> Prowadzenie produkcji rolniczej</t>
  </si>
  <si>
    <t>Prowadzenie produkcji pszczelarskiej</t>
  </si>
  <si>
    <t>ROL.03. </t>
  </si>
  <si>
    <t> Eksploatacja pojazdów, maszyn, urządzeń i narzędzi stosowanych w rolnictwie</t>
  </si>
  <si>
    <t>Jeździectwo i trening koni</t>
  </si>
  <si>
    <t>ROL.01. </t>
  </si>
  <si>
    <t>Wytwarzanie, konserwacja i renowacja rękodzielniczych wyrobów włókienniczych</t>
  </si>
  <si>
    <t>MOD.08. </t>
  </si>
  <si>
    <t>Wykonywanie prostych wyrobów odzieżowych</t>
  </si>
  <si>
    <t>MOD.07. </t>
  </si>
  <si>
    <t>Wytwarzanie i wykończanie wyrobów włókienniczych</t>
  </si>
  <si>
    <t>MOD.06. </t>
  </si>
  <si>
    <t>Wytwarzanie obuwia</t>
  </si>
  <si>
    <t>MOD.05. </t>
  </si>
  <si>
    <t>Wykonywanie i renowacja wyrobów kuśnierskich</t>
  </si>
  <si>
    <t>MOD.04. </t>
  </si>
  <si>
    <t>Projektowanie i wytwarzanie wyrobów odzieżowych</t>
  </si>
  <si>
    <t>MOD.03. </t>
  </si>
  <si>
    <t>Wykonywanie i renowacja wyrobów kaletniczych</t>
  </si>
  <si>
    <t>MOD.02. </t>
  </si>
  <si>
    <t>Wyprawianie skór</t>
  </si>
  <si>
    <t>MOD.01. </t>
  </si>
  <si>
    <t>Realizacja procesów introligatorskich i opakowaniowych</t>
  </si>
  <si>
    <t>PGF.03. </t>
  </si>
  <si>
    <t>Realizacja procesów drukowania z offsetowych form drukowych</t>
  </si>
  <si>
    <t>PGF.02. </t>
  </si>
  <si>
    <t>Realizacja procesów drukowania z użyciem fleksograficznych form drukowych</t>
  </si>
  <si>
    <t>PGF.01. </t>
  </si>
  <si>
    <t>Zakładanie i prowadzenie upraw ogrodniczych</t>
  </si>
  <si>
    <t>OGR.02. </t>
  </si>
  <si>
    <t>Obsługa, diagnozowanie oraz naprawa pojazdów samochodowych</t>
  </si>
  <si>
    <t>MOT.05. </t>
  </si>
  <si>
    <t>Diagnozowanie, obsługa i naprawa pojazdów motocyklowych</t>
  </si>
  <si>
    <t>MOT.04. </t>
  </si>
  <si>
    <t>Diagnozowanie i naprawa powłok lakierniczych</t>
  </si>
  <si>
    <t>MOT.03. </t>
  </si>
  <si>
    <t>Obsługa, diagnozowanie oraz naprawa mechatronicznych systemów pojazdów samochodowych</t>
  </si>
  <si>
    <t>MOT.02. </t>
  </si>
  <si>
    <t>Diagnozowanie i naprawa nadwozi pojazdów samochodowych</t>
  </si>
  <si>
    <t>MOT.01. </t>
  </si>
  <si>
    <t>Eksploatacja maszyn i urządzeń przemysłu metalurgicznego</t>
  </si>
  <si>
    <t>MTL.03. </t>
  </si>
  <si>
    <t>Eksploatacja maszyn i urządzeń odlewniczych</t>
  </si>
  <si>
    <t>MTL.02. </t>
  </si>
  <si>
    <t>Wykonywanie i naprawa oprzyrządowania odlewniczego</t>
  </si>
  <si>
    <t>MTL.01. </t>
  </si>
  <si>
    <t>Wykonywanie i naprawa wyrobów złotniczych i jubilerskich</t>
  </si>
  <si>
    <t>MEP.05. </t>
  </si>
  <si>
    <t>Naprawa zegarów i zegarków</t>
  </si>
  <si>
    <t>MEP.04. </t>
  </si>
  <si>
    <t> Montaż i naprawa elementów i układów optycznych</t>
  </si>
  <si>
    <t>MEP.02.</t>
  </si>
  <si>
    <t>Montaż i naprawa maszyn i urządzeń precyzyjnych</t>
  </si>
  <si>
    <t>MEP.01. </t>
  </si>
  <si>
    <t>Wykonywanie i naprawa elementów maszyn, urządzeń i narzędzi</t>
  </si>
  <si>
    <t>MEC.08. </t>
  </si>
  <si>
    <t>" "</t>
  </si>
  <si>
    <t>CKZ Kłodzko</t>
  </si>
  <si>
    <t>CKZ Olkusz</t>
  </si>
  <si>
    <t>CKZ Wschowa</t>
  </si>
  <si>
    <t>CKZ Krotoszyn</t>
  </si>
  <si>
    <t>!</t>
  </si>
  <si>
    <t>BUD.01.</t>
  </si>
  <si>
    <t>BUD.10.</t>
  </si>
  <si>
    <t>CHM.01.</t>
  </si>
  <si>
    <t>MEC.01.</t>
  </si>
  <si>
    <t>PGF.02.</t>
  </si>
  <si>
    <t>AU.17.</t>
  </si>
  <si>
    <t>AU.22.</t>
  </si>
  <si>
    <t>BD.12.</t>
  </si>
  <si>
    <t>BD.33.</t>
  </si>
  <si>
    <t>EE.03.</t>
  </si>
  <si>
    <t>MG.17.</t>
  </si>
  <si>
    <t>TG.02.</t>
  </si>
  <si>
    <t>TG.04.</t>
  </si>
  <si>
    <t>BD.11.</t>
  </si>
  <si>
    <t>BD.08.</t>
  </si>
  <si>
    <t>Wykonywanie robót dekarskich</t>
  </si>
  <si>
    <t>BD.13.</t>
  </si>
  <si>
    <t>BD.03.</t>
  </si>
  <si>
    <t>BD.07.</t>
  </si>
  <si>
    <t>BD.06.</t>
  </si>
  <si>
    <t>Wykonywanie izolacji przzemysłowych</t>
  </si>
  <si>
    <t>BD.16.</t>
  </si>
  <si>
    <t>BD.01.</t>
  </si>
  <si>
    <t>BD.15.</t>
  </si>
  <si>
    <t>AU.06.</t>
  </si>
  <si>
    <t> Obsługa maszyn i urządzeń przemysłu ceramicznego</t>
  </si>
  <si>
    <t>Wykonywanie wyrobów stolarskich</t>
  </si>
  <si>
    <t>Wykonywanie zabiegów fryzjerskich</t>
  </si>
  <si>
    <t>TG.10.</t>
  </si>
  <si>
    <t>Sporządzanie potraw i napojów</t>
  </si>
  <si>
    <t>MG.21.</t>
  </si>
  <si>
    <t>MG.13.</t>
  </si>
  <si>
    <t>Naprawa uszzkodzonych nadwozi pojazdów samochodowych</t>
  </si>
  <si>
    <t>Obsługa, diagnozowanie oraz naprawa elektrycznych i elektronicznych układów pojazdów samochodowych</t>
  </si>
  <si>
    <t>Wykonywanie prac lakierniczych</t>
  </si>
  <si>
    <t>MG.23.</t>
  </si>
  <si>
    <t>Diagnozowaniei naprawa podzespołów i zespołów pojazdów samochodowych</t>
  </si>
  <si>
    <t xml:space="preserve">Drukarz </t>
  </si>
  <si>
    <t>Realizacja procesów drukowania z form drukowych</t>
  </si>
  <si>
    <t>AU.11.</t>
  </si>
  <si>
    <t>AU.09.</t>
  </si>
  <si>
    <t>Wykonywanie, naprawa i renowacja wyrobów kaletniczych</t>
  </si>
  <si>
    <t>AU.14.</t>
  </si>
  <si>
    <t>AU.13.</t>
  </si>
  <si>
    <t>AU.10.</t>
  </si>
  <si>
    <t>AU.03.</t>
  </si>
  <si>
    <t>Projektowanie i wytwarzanie prostych wyrobów odzieżowych</t>
  </si>
  <si>
    <t>ST.01.</t>
  </si>
  <si>
    <t>AU.04.</t>
  </si>
  <si>
    <t>EE.02.</t>
  </si>
  <si>
    <t>AU.02.</t>
  </si>
  <si>
    <t>Wytwarzanie prostych wyrobów stolarskich</t>
  </si>
  <si>
    <t>AU.05.</t>
  </si>
  <si>
    <t>AU.08.</t>
  </si>
  <si>
    <t>MG.05.</t>
  </si>
  <si>
    <t>AU.19.</t>
  </si>
  <si>
    <t>MG.04.</t>
  </si>
  <si>
    <t>RL.01.</t>
  </si>
  <si>
    <t> Obsługa maszyn stosowanych do prac leśnych</t>
  </si>
  <si>
    <t>MG.25.</t>
  </si>
  <si>
    <t>Wykonywanie i naprawa elementów, wyrobów oraz pokryć z blachy</t>
  </si>
  <si>
    <t>MG.28.</t>
  </si>
  <si>
    <t>MG.02.</t>
  </si>
  <si>
    <t>MG.01.</t>
  </si>
  <si>
    <t>MG.15.</t>
  </si>
  <si>
    <t>MG.14.</t>
  </si>
  <si>
    <t>MG.26.</t>
  </si>
  <si>
    <t>MG.06.</t>
  </si>
  <si>
    <t>Użytkowanie maszyn i urządzeń odlewniczych</t>
  </si>
  <si>
    <t>RL.05.</t>
  </si>
  <si>
    <t>RL.06.</t>
  </si>
  <si>
    <t>AU.07.</t>
  </si>
  <si>
    <t>AU.18.</t>
  </si>
  <si>
    <t>RL.04.</t>
  </si>
  <si>
    <t>RL.03.</t>
  </si>
  <si>
    <t>RL.02.</t>
  </si>
  <si>
    <t>TG.06.</t>
  </si>
  <si>
    <t>EE.01.</t>
  </si>
  <si>
    <t>BD.10.</t>
  </si>
  <si>
    <t>BD.09.</t>
  </si>
  <si>
    <t>Rzemieślnicza Branżowa szkoła I Stopnia im. Stanisława Palucha w Wałbrzychu</t>
  </si>
  <si>
    <t>Wałbrzych</t>
  </si>
  <si>
    <t>Rzemieślnicza Branżowa Szkoła I stopnia w Wałbrzychu</t>
  </si>
  <si>
    <t>Rzemieślnicza</t>
  </si>
  <si>
    <t>Rzemieślnicza Wałbrzych</t>
  </si>
  <si>
    <t>CKZ Dobrodzień</t>
  </si>
  <si>
    <t>Mosina</t>
  </si>
  <si>
    <t>CKZ Mosina</t>
  </si>
  <si>
    <t>CKZ Legnica</t>
  </si>
  <si>
    <t>CKZ Oleśnica</t>
  </si>
  <si>
    <t>CKZ Głubczyce</t>
  </si>
  <si>
    <t>CKZ Bielawa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</si>
  <si>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</si>
  <si>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</si>
  <si>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</si>
  <si>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</si>
  <si>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</si>
  <si>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</si>
  <si>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</si>
  <si>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</si>
  <si>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</si>
  <si>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</si>
  <si>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</si>
  <si>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</si>
  <si>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</si>
  <si>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</si>
  <si>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</si>
  <si>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</si>
  <si>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</si>
  <si>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</si>
  <si>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</si>
  <si>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</si>
  <si>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</si>
  <si>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</si>
  <si>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</si>
  <si>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</si>
  <si>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</si>
  <si>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</si>
  <si>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</si>
  <si>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</si>
  <si>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</si>
  <si>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</si>
  <si>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</si>
  <si>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</si>
  <si>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</si>
  <si>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</si>
  <si>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</si>
  <si>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</si>
  <si>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</si>
  <si>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</si>
  <si>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</si>
  <si>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</si>
  <si>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</si>
  <si>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</si>
  <si>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</si>
  <si>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</si>
  <si>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</si>
  <si>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</si>
  <si>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</si>
  <si>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</si>
  <si>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</si>
  <si>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</si>
  <si>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</si>
  <si>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</si>
  <si>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</si>
  <si>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</si>
  <si>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</si>
  <si>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</si>
  <si>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</si>
  <si>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</si>
  <si>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</si>
  <si>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</si>
  <si>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</si>
  <si>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</si>
  <si>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</si>
  <si>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</si>
  <si>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</si>
  <si>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</si>
  <si>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</si>
  <si>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</si>
  <si>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</si>
  <si>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</si>
  <si>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</si>
  <si>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</si>
  <si>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</si>
  <si>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</si>
  <si>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</si>
  <si>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</si>
  <si>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</si>
  <si>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</si>
  <si>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</si>
  <si>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</si>
  <si>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</si>
  <si>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</si>
  <si>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</si>
  <si>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</si>
  <si>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</si>
  <si>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</si>
  <si>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</si>
  <si>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</si>
  <si>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</si>
  <si>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</si>
  <si>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</si>
  <si>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</si>
  <si>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</si>
  <si>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</si>
  <si>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</si>
  <si>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</si>
  <si>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</si>
  <si>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</si>
  <si>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</si>
  <si>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</si>
  <si>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</si>
  <si>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</si>
  <si>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</si>
  <si>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</si>
  <si>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</si>
  <si>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</si>
  <si>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</si>
  <si>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</si>
  <si>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</si>
  <si>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</si>
  <si>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</si>
  <si>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</si>
  <si>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</si>
  <si>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</si>
  <si>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</si>
  <si>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</si>
  <si>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</si>
  <si>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</si>
  <si>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</si>
  <si>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</si>
  <si>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</si>
  <si>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</si>
  <si>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</si>
  <si>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</si>
  <si>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</si>
  <si>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</si>
  <si>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</si>
  <si>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</si>
  <si>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</si>
  <si>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</si>
  <si>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</si>
  <si>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</si>
  <si>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</si>
  <si>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</si>
  <si>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</si>
  <si>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</si>
  <si>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</si>
  <si>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</si>
  <si>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</si>
  <si>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</si>
  <si>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</si>
  <si>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</si>
  <si>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</si>
  <si>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</si>
  <si>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</si>
  <si>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</si>
  <si>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</si>
  <si>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</si>
  <si>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</si>
  <si>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</si>
  <si>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</si>
  <si>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</si>
  <si>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</si>
  <si>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</si>
  <si>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</si>
  <si>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</si>
  <si>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</si>
  <si>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</si>
  <si>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</si>
  <si>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</si>
  <si>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</si>
  <si>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</si>
  <si>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</si>
  <si>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</si>
  <si>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</si>
  <si>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</si>
  <si>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</si>
  <si>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</si>
  <si>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</si>
  <si>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</si>
  <si>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</si>
  <si>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</si>
  <si>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</si>
  <si>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</si>
  <si>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</si>
  <si>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</si>
  <si>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</si>
  <si>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</si>
  <si>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</si>
  <si>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</si>
  <si>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</si>
  <si>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</si>
  <si>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492.</t>
  </si>
  <si>
    <t>493.</t>
  </si>
  <si>
    <t>494.</t>
  </si>
  <si>
    <t>495.</t>
  </si>
  <si>
    <t>496.</t>
  </si>
  <si>
    <t>497.</t>
  </si>
  <si>
    <t>498.</t>
  </si>
  <si>
    <t>499.</t>
  </si>
  <si>
    <t xml:space="preserve">Branżowa Szkoła I Stopnia Nr 3 w Centrum Kształcenia Zawodowego i Ustawicznego </t>
  </si>
  <si>
    <t>rybak śródlądowy</t>
  </si>
  <si>
    <t>ZS Słupsk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</si>
  <si>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</si>
  <si>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</si>
  <si>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</si>
  <si>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</si>
  <si>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</si>
  <si>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</si>
  <si>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</si>
  <si>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</si>
  <si>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</si>
  <si>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</si>
  <si>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</si>
  <si>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</si>
  <si>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</si>
  <si>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</si>
  <si>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</si>
  <si>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RYB.01.</t>
  </si>
  <si>
    <t>CKZ Słupsk</t>
  </si>
  <si>
    <t>Słupsk</t>
  </si>
  <si>
    <t>515.</t>
  </si>
  <si>
    <t xml:space="preserve">Branżowa Szkoła I Stopnia Nr 2 w Zespole Szkół Budowlanych </t>
  </si>
  <si>
    <t>516.</t>
  </si>
  <si>
    <t>517.</t>
  </si>
  <si>
    <t>518.</t>
  </si>
  <si>
    <t>519.</t>
  </si>
  <si>
    <t>520.</t>
  </si>
  <si>
    <t>Branzowa Szkoła I Stopnia w Zespole Szkół Zawodowych</t>
  </si>
  <si>
    <t>Złotoryja</t>
  </si>
  <si>
    <t>521.</t>
  </si>
  <si>
    <t>522.</t>
  </si>
  <si>
    <t>523.</t>
  </si>
  <si>
    <t>524.</t>
  </si>
  <si>
    <t>525.</t>
  </si>
  <si>
    <t>526.</t>
  </si>
  <si>
    <t xml:space="preserve">Branżowa Szkoła I Stopnia w Ośrodku Szkolno-Wychowawczym </t>
  </si>
  <si>
    <t>L</t>
  </si>
  <si>
    <t>Centrum Kształcenia Zawodowego w Kłodzkiej Szkole Przedsiębiorczości w Kłodzku, ul. Szkolna 8, 57-300 Kłodzko</t>
  </si>
  <si>
    <t>Branżowa  Szkoła I Stopnia w Paczkowie</t>
  </si>
  <si>
    <t>491.</t>
  </si>
  <si>
    <t>Centrum Kształcenia Zawodowego przy ZSP w Dobrodzieniu, 42-780  Dobrodzień, ul. Oleska 7</t>
  </si>
  <si>
    <t>Szkoła</t>
  </si>
  <si>
    <t>miejscowość</t>
  </si>
  <si>
    <t>mail</t>
  </si>
  <si>
    <t>Dyrektor</t>
  </si>
  <si>
    <t>Lp.</t>
  </si>
  <si>
    <t>Daria Michalska</t>
  </si>
  <si>
    <t>Katarzyna Walczyk</t>
  </si>
  <si>
    <t>Katarzyna Koman</t>
  </si>
  <si>
    <t>Jacek Jurkiewicz</t>
  </si>
  <si>
    <t>zsb.boleslawiec@interia.pl</t>
  </si>
  <si>
    <t>Wiesław Stefanik</t>
  </si>
  <si>
    <t>zshiu@pro.onet.pl</t>
  </si>
  <si>
    <t>Małgorzata Staniszewska</t>
  </si>
  <si>
    <t>zsz.biuro@brzegdolny.pl</t>
  </si>
  <si>
    <t>Dorota Łakucewicz</t>
  </si>
  <si>
    <t>sekretariat@zspbystrzyca.com.pl</t>
  </si>
  <si>
    <t>Bożena Wiszniewska</t>
  </si>
  <si>
    <t>chzs@poczta.onet.pl</t>
  </si>
  <si>
    <t>Mariusz Kowalczyk</t>
  </si>
  <si>
    <t>szkola@pzs-chojnow.pl</t>
  </si>
  <si>
    <t>Andrzej Myślicki</t>
  </si>
  <si>
    <t>szkola@zsz.dzierzoniow.pl</t>
  </si>
  <si>
    <t>Jolanta Zawartka</t>
  </si>
  <si>
    <t>zszoi.glogow@wp.pl</t>
  </si>
  <si>
    <t>Ewa Gano</t>
  </si>
  <si>
    <t>Małgorzata Wiśniewska</t>
  </si>
  <si>
    <t>zsoiz.jp2@wp.pl</t>
  </si>
  <si>
    <t>Lucyna Buczkowska</t>
  </si>
  <si>
    <t>sekretariat@pckzjawor.pl</t>
  </si>
  <si>
    <t>Agnieszka Żak</t>
  </si>
  <si>
    <t>zspjelcz@poczta.onet.pl</t>
  </si>
  <si>
    <t>Danuta Pawłowicz</t>
  </si>
  <si>
    <t>handlowka@edu.pl</t>
  </si>
  <si>
    <t>Piotr Iwaniec</t>
  </si>
  <si>
    <t>zstmechanik@onet.pl</t>
  </si>
  <si>
    <t>Mariola Jaciuk</t>
  </si>
  <si>
    <t>zszio@kamienna-gora.pl zszio-kg@o2.pl</t>
  </si>
  <si>
    <t>Rafał Hankus</t>
  </si>
  <si>
    <t>biuro.ksp@onet.eu   dyrektor.ksp@onet.eu</t>
  </si>
  <si>
    <t>Sylwia Ciszek</t>
  </si>
  <si>
    <t>sekretariat@zso-kowary.pl</t>
  </si>
  <si>
    <t>Magdalena Zyder</t>
  </si>
  <si>
    <t>Izabela Stasiak-Kicielińska</t>
  </si>
  <si>
    <t>sekretariat@ckziu.legnica.pl</t>
  </si>
  <si>
    <t>Lidia Błażków</t>
  </si>
  <si>
    <t>zszioluban@wp.pl</t>
  </si>
  <si>
    <t>Joanna Paśko-Sikora</t>
  </si>
  <si>
    <t>zsoizlub@poczta.onet.pl</t>
  </si>
  <si>
    <t>Jolanta Michałek</t>
  </si>
  <si>
    <t>zsp.miedzyborz@gmail.com</t>
  </si>
  <si>
    <t>Brygida Gąsior</t>
  </si>
  <si>
    <t>szkola@zsp.nowaruda.pl</t>
  </si>
  <si>
    <t>Jacek Stala</t>
  </si>
  <si>
    <t>sekretariat@zsp.olesnica.pl</t>
  </si>
  <si>
    <t>Maria Domaradzka</t>
  </si>
  <si>
    <t>sekretariat@ckziu.olawa.pl</t>
  </si>
  <si>
    <t>Jadwiga Braniewska</t>
  </si>
  <si>
    <t>administracja@zsp2olawa.edu.pl</t>
  </si>
  <si>
    <t>Robert Stępień</t>
  </si>
  <si>
    <t>sekretariat@zssolawa.szkolnastrona.pl</t>
  </si>
  <si>
    <t>Jolanta Rubiś-Kulczycka</t>
  </si>
  <si>
    <t>zs@zs.polkowice.pl</t>
  </si>
  <si>
    <t>Monika Dźwigaj</t>
  </si>
  <si>
    <t>gim_przemkow@poczta.onet.pl</t>
  </si>
  <si>
    <t>Jan Czyczerski</t>
  </si>
  <si>
    <t>zsetrakowice@op.pl</t>
  </si>
  <si>
    <t>Robert Wójtowicz</t>
  </si>
  <si>
    <t>sekretariat@zsstrzegom.pl</t>
  </si>
  <si>
    <t>Robert Kozuń</t>
  </si>
  <si>
    <t>sekretariat@technikumstrzelin.pl</t>
  </si>
  <si>
    <t>Beata Mazurek</t>
  </si>
  <si>
    <t>sekretariat@zsp-sycow.pl</t>
  </si>
  <si>
    <t>Małgorzata Przesławska</t>
  </si>
  <si>
    <t>Ilona Sitek-Warzecha</t>
  </si>
  <si>
    <t>zs1swidnica@wp.pl</t>
  </si>
  <si>
    <t>Kondrad Kulon</t>
  </si>
  <si>
    <t>szkola.kulon@wp.pl</t>
  </si>
  <si>
    <t>Branżowa Szkoła I Stopnia w Świebodzicach</t>
  </si>
  <si>
    <t>Świebodzice</t>
  </si>
  <si>
    <t>Anna Jodłowska</t>
  </si>
  <si>
    <t>zs_szkol@poczta.onet.pl</t>
  </si>
  <si>
    <t>Janusz Górka</t>
  </si>
  <si>
    <t>sekretariat@pzs2-trzebnica.pl</t>
  </si>
  <si>
    <t>Lila Zajączkowska</t>
  </si>
  <si>
    <t>soswtrzebnica@wp.pl</t>
  </si>
  <si>
    <t>Edyta Pciak-Rogala</t>
  </si>
  <si>
    <t>sekretariat@zsptwardogora.pl</t>
  </si>
  <si>
    <t>Małgorzata Dziubczyńska</t>
  </si>
  <si>
    <t>nzsc@op.pl</t>
  </si>
  <si>
    <t>Henryka Przybyłowicz</t>
  </si>
  <si>
    <t>Wiesław Filipiak</t>
  </si>
  <si>
    <t>sekretariat.zsz5@wroclawskaedukacja.pl</t>
  </si>
  <si>
    <t>Ryszard Pawłowski</t>
  </si>
  <si>
    <t>Marzena Kudryńska</t>
  </si>
  <si>
    <t>cechzabkowice@gmail.com</t>
  </si>
  <si>
    <t>Jadwiga Buciuto</t>
  </si>
  <si>
    <t>zgemilka@poczta.onet.pl</t>
  </si>
  <si>
    <t>Joanna Smętkiewicz</t>
  </si>
  <si>
    <t>zspziebice@interia.pl</t>
  </si>
  <si>
    <t>Paweł Gorczyca</t>
  </si>
  <si>
    <t>soszwzlotoryja@gmail.com</t>
  </si>
  <si>
    <t>Jan Kotylak</t>
  </si>
  <si>
    <t>zszzlotoryja@op.pl</t>
  </si>
  <si>
    <t>Dorota Jasztal</t>
  </si>
  <si>
    <t>zszzarow@poczta.onet.pl</t>
  </si>
  <si>
    <t>Katarzyna Lech</t>
  </si>
  <si>
    <t>sekretariat@pzszmigrod.pl</t>
  </si>
  <si>
    <t>telefon</t>
  </si>
  <si>
    <t xml:space="preserve">sekretariat@michalska.pl </t>
  </si>
  <si>
    <t>centrump@vp.pl</t>
  </si>
  <si>
    <t xml:space="preserve">zszc.bielawa@wp.pl </t>
  </si>
  <si>
    <t xml:space="preserve">zszbogatynia@o2.pl </t>
  </si>
  <si>
    <t xml:space="preserve">sekretariat@zszgoras.pol.pl </t>
  </si>
  <si>
    <t>zs_gora@wp.pl</t>
  </si>
  <si>
    <t xml:space="preserve">sekretariat@pzs-krzyzowice.wroc.pl  </t>
  </si>
  <si>
    <t>wicedyrektor@pzs-krzyzowice.wroc.pl</t>
  </si>
  <si>
    <t xml:space="preserve">sekretariat@zszzabkowice.pl </t>
  </si>
  <si>
    <t>zsp2zabkowice@wp.pl</t>
  </si>
  <si>
    <t xml:space="preserve">sekretariat@zszwolow.pl </t>
  </si>
  <si>
    <t>zszwolow@neostrada.pl</t>
  </si>
  <si>
    <t xml:space="preserve">zsp-kopernik@wp.pl </t>
  </si>
  <si>
    <t>pzsp1@powiat-sredzki.pl</t>
  </si>
  <si>
    <t>poczta@zs1.lubin.pl</t>
  </si>
  <si>
    <t>Dariusz Tomaszewski</t>
  </si>
  <si>
    <t>zsp-kudowa@tlen.pl</t>
  </si>
  <si>
    <t>Jerzy Łukasik</t>
  </si>
  <si>
    <t>zspaczkow@gmail.com</t>
  </si>
  <si>
    <t>zsotmochow@zsotmochow.pl</t>
  </si>
  <si>
    <t>k.kwapisz@zs1.lubin.pl</t>
  </si>
  <si>
    <t>Zmiana ze Świdnicy na Wschowę na wniosek szkoły</t>
  </si>
  <si>
    <t>nie organizuje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</si>
  <si>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</si>
  <si>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</si>
  <si>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</si>
  <si>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</si>
  <si>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</si>
  <si>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</si>
  <si>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</si>
  <si>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</si>
  <si>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</si>
  <si>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</si>
  <si>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</si>
  <si>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23.11.2020-20.12.2020</t>
  </si>
  <si>
    <t>04.01.2021-31.01.2021</t>
  </si>
  <si>
    <t>15.03.2021-18.04.2021</t>
  </si>
  <si>
    <t>01.02.2021-14.03.2021</t>
  </si>
  <si>
    <t>19.04.2021-16.05.2021</t>
  </si>
  <si>
    <t>02.09.2020-27.09.2020</t>
  </si>
  <si>
    <t>28.09.2020-25.10.2020</t>
  </si>
  <si>
    <t>26.10.2020-22.11.2020</t>
  </si>
  <si>
    <t>23.112020-20.12.2020</t>
  </si>
  <si>
    <t>19.04.2020-16.05.2020</t>
  </si>
  <si>
    <t>1.02.2021-14.03.2021</t>
  </si>
  <si>
    <t>Branżowa Szkoła I Stopnia Cechu Rzemiosł Różnych i Małej Przedsiębiorczości w Bielawie</t>
  </si>
  <si>
    <t>5.10.2020-30.10.2020</t>
  </si>
  <si>
    <t>1.02.2021 - 26.02.2020</t>
  </si>
  <si>
    <t>7.09.2020 - 2.10.2020</t>
  </si>
  <si>
    <t>5.10.2020 - 30.10.2020</t>
  </si>
  <si>
    <t>2.11.2020 - 28.11.2020</t>
  </si>
  <si>
    <t>23.11.2020 - 18.12.2020</t>
  </si>
  <si>
    <t>06.04.2021-30.04.2021</t>
  </si>
  <si>
    <t>01.02.2021 - 26.02.2021</t>
  </si>
  <si>
    <t>07.09.2020-02.10.2020</t>
  </si>
  <si>
    <t>02.10.2020 - 30.10.2020</t>
  </si>
  <si>
    <t>01.03.2021 - 26.03.2021</t>
  </si>
  <si>
    <t>28.09.2020-23.10.2020</t>
  </si>
  <si>
    <t>23.11.2020-18.12.2020</t>
  </si>
  <si>
    <t>26.10.2020-20.11.2020</t>
  </si>
  <si>
    <t>04.01.2021-12.02.2021</t>
  </si>
  <si>
    <t>02.09.2020-25.09.2020</t>
  </si>
  <si>
    <t>15.03.2021-16.04.2021</t>
  </si>
  <si>
    <t>15.02.2021-12.03.2021</t>
  </si>
  <si>
    <t>19.04.2021-14.05.2021</t>
  </si>
  <si>
    <t>CKZiU w Strzelinie</t>
  </si>
  <si>
    <t>ZSP Nr 2 Kępno</t>
  </si>
  <si>
    <t>Kępno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</si>
  <si>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</si>
  <si>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</si>
  <si>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</si>
  <si>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</si>
  <si>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</si>
  <si>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</si>
  <si>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</si>
  <si>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</si>
  <si>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</si>
  <si>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</si>
  <si>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</si>
  <si>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</si>
  <si>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</si>
  <si>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</si>
  <si>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KLASY 1</t>
  </si>
  <si>
    <t>Jelcz - Laskowice</t>
  </si>
  <si>
    <t>ELM.03.</t>
  </si>
  <si>
    <t>TOYOTA</t>
  </si>
  <si>
    <t>BUD.02.</t>
  </si>
  <si>
    <t>BUD.26.</t>
  </si>
  <si>
    <t>DRM.03.</t>
  </si>
  <si>
    <t>ELM.01.</t>
  </si>
  <si>
    <t>FRK.02.</t>
  </si>
  <si>
    <t>GIW.01.</t>
  </si>
  <si>
    <t>GIW.04.</t>
  </si>
  <si>
    <t>GIW.05.</t>
  </si>
  <si>
    <t>MEC.02.</t>
  </si>
  <si>
    <t>MEC.04.</t>
  </si>
  <si>
    <t>MEP.01.</t>
  </si>
  <si>
    <t>MEP.04.</t>
  </si>
  <si>
    <t>MTL.01.</t>
  </si>
  <si>
    <t>MTL.02.</t>
  </si>
  <si>
    <t>MTL.03.</t>
  </si>
  <si>
    <t>MOT.04.</t>
  </si>
  <si>
    <t>PGF.01.</t>
  </si>
  <si>
    <t>PGF.03.</t>
  </si>
  <si>
    <t>MOD.01.</t>
  </si>
  <si>
    <t>MOD.02.</t>
  </si>
  <si>
    <t>MOD.04.</t>
  </si>
  <si>
    <t>MOD.05.</t>
  </si>
  <si>
    <t>MOD.06.</t>
  </si>
  <si>
    <t>MOD.07.</t>
  </si>
  <si>
    <t>MOD.08.</t>
  </si>
  <si>
    <t>ROL.01.</t>
  </si>
  <si>
    <t>ROL.03.</t>
  </si>
  <si>
    <t>SPC.02.</t>
  </si>
  <si>
    <t>SPC.05.</t>
  </si>
  <si>
    <t>TWO.01.</t>
  </si>
  <si>
    <t>TWO.02.</t>
  </si>
  <si>
    <t>TWO.03.</t>
  </si>
  <si>
    <t>02.11.2020-30.11.2020
01.02.2021-26.02.2021</t>
  </si>
  <si>
    <t>05.10.2020-30.10.2020</t>
  </si>
  <si>
    <t>Branżowa Szkoła I Stopnia w Lubomierzu</t>
  </si>
  <si>
    <t>02.11.2020-27.11.2020</t>
  </si>
  <si>
    <t>brak terminu</t>
  </si>
  <si>
    <t>03.09.2020-30.09.2020</t>
  </si>
  <si>
    <t>12.10.2020-06.11.2020</t>
  </si>
  <si>
    <t>16.11.2020-11.12.2020</t>
  </si>
  <si>
    <t>02.11.2020 - 28.11.2020</t>
  </si>
  <si>
    <t>01.02.2021-26.02.2021</t>
  </si>
  <si>
    <t>04.05.2021-28.05.2021</t>
  </si>
  <si>
    <t>Centrum Kształcenia Zawodowego i Ustawicznego w Oławie</t>
  </si>
  <si>
    <t>Centrum Kształcenia Zawodowego przy ZSM w Głubczycach</t>
  </si>
  <si>
    <t>05.10.2020-30.10.2020
02.11.2020-27.11.2020</t>
  </si>
  <si>
    <t>07.09.2020-02.10.2020
05.10.2020-30.10.2020
02.11.2020-27.11.2020</t>
  </si>
  <si>
    <t>01.03.2021-26.03.2021
12.04.2021-07.05.2021</t>
  </si>
  <si>
    <t>01.03.2021-26.03.2021</t>
  </si>
  <si>
    <t>10.05.2021-04.06.2021</t>
  </si>
  <si>
    <t>14.09.2020-09.10.2020</t>
  </si>
  <si>
    <t>Zespół Szkół i Placówek Kształcenia Zawodowego w Zielonej Górze, ul. Botaniczna 66</t>
  </si>
  <si>
    <t>01.09.2020-25.09.2020</t>
  </si>
  <si>
    <t>05.10.2020-30.10.2020
02.11.2020-27.11.2020
07.09.2020-02.10.2020
30.11.2020-22.12.2020</t>
  </si>
  <si>
    <t>02-11-2020 do 27-11-2020
30-11-2020 do 22-12-2020
01-02-2021 do 26-02-2021
01-03-2021 do 26-03-2021</t>
  </si>
  <si>
    <t>12.04.2021-07.05.2021</t>
  </si>
  <si>
    <t>mechatronik</t>
  </si>
  <si>
    <t>07.09.2020-02.10.2020
05.10.2020-30.10.2020
02.11.2020-27.11.2020
30.11.2020-22.12.2020
01.02.2021-26.02.2021
01.03.2021-26.03.2021</t>
  </si>
  <si>
    <t>07.09.2020-02.10.2020
05.10.2020-30.10.2020
02.11.2020-27.11.2020
30.11.2020-22.12.2020</t>
  </si>
  <si>
    <t>07.09.2020-02.10.2020
05.10.2020-30.10.2020</t>
  </si>
  <si>
    <t>01.03.2021-26.03.2021
12.04.2021-07.05.2021
10.05.2021-04.06.2021</t>
  </si>
  <si>
    <t>01.02.2021-26.02.2021
01.03.2021-26.03.2021
12.04.2021-07.05.2021</t>
  </si>
  <si>
    <t>02.11.2020-30.11.2020</t>
  </si>
  <si>
    <t>lakiernik samochodowy</t>
  </si>
  <si>
    <t>Ośrodek Szkolno Wychowawczy w Złotoryji</t>
  </si>
  <si>
    <t>Branżowa szkoła I Stopnia w Strzelinie</t>
  </si>
  <si>
    <t>Zespół Szkół im. Narodów Zjednoczonej Europy w Polkowicach</t>
  </si>
  <si>
    <t>Branżowa Szkoła I Stopnia w Zespole Szkół Zawodowych i Ogólnokształcących im. Kombatantów Ziemi Lubańskiej w Lubaniu</t>
  </si>
  <si>
    <t>dekarz</t>
  </si>
  <si>
    <t>Branżowa Szkoła I Stopnia w Powiatowym Centrum Kształcenia Zawodowego i Ustawicznego w Jaworze</t>
  </si>
  <si>
    <t xml:space="preserve">mechanik pojazdów samochodowych </t>
  </si>
  <si>
    <t xml:space="preserve">monter stolarki budowlanej </t>
  </si>
  <si>
    <t>Branżowa Szkoła I Stopnia w Nowej Rudzie</t>
  </si>
  <si>
    <t>Branżowa szkoła I Stopnia w  ZSHiU w Bolesławcu</t>
  </si>
  <si>
    <t>Rzemieślnicza Branżowa Szkoła I st. im. Stanisława Palucha</t>
  </si>
  <si>
    <t>Rzemieślnicza Branżowa Szkoła I st. w Wałbrzychu</t>
  </si>
  <si>
    <t>Zespół Szkół im. Ireny Sendler w Przemkowie – Branżowa Szkoła I Stopnia</t>
  </si>
  <si>
    <t>Branżowa Szkoła I Stopnia w Zespole Szkół Ogólnokształcących i Zawodowych im. Jana Pawła II w Gryfowie Śląskim</t>
  </si>
  <si>
    <t xml:space="preserve">Branżowa szkoła I Stopnia w Wołowie </t>
  </si>
  <si>
    <t xml:space="preserve">Mechanik pojazdów samochodowych </t>
  </si>
  <si>
    <t xml:space="preserve">Ślusarz  </t>
  </si>
  <si>
    <t>Branżowa szkoła I Stopnia w Zespole Szkół Nr 2 im.prof.Tadeusza Kotarbińskiego w Dzierżoniowie</t>
  </si>
  <si>
    <t>Branżowa Szkoła I Stopnia Nr 3 w Legnicy</t>
  </si>
  <si>
    <t>Branżowa Szkoła I Stopnia "Rzemieślnik" w Świdnicy</t>
  </si>
  <si>
    <t>Branżowa szkoła I Stopnia nr 1 w Głogowie - ZSTiO</t>
  </si>
  <si>
    <t>552.</t>
  </si>
  <si>
    <t>Branżowa Szkoła I Stopnia w Powiatowym Zespole Szkół w Chojnowie</t>
  </si>
  <si>
    <t>Branżowa szkoła I Stopnia w Kłodzkiej Szkole Przedsiębiorczości</t>
  </si>
  <si>
    <t>CUKIERNIK</t>
  </si>
  <si>
    <t>PRACOWNIK OBSŁUGI HOTELOWEJ</t>
  </si>
  <si>
    <t>ROLNIK</t>
  </si>
  <si>
    <t>Branżowa szkoła I Stopnia w Bystrzycy Kłodzkiej</t>
  </si>
  <si>
    <t>JCKZ w Zespole Szkół Licealnych i Zawodowych Nr 2 im. Stanisława Staszica w Jeleniej Górze, ul. 1 Maja 39/41</t>
  </si>
  <si>
    <t>Centrum Kształcenia Zawodowego w Świdnicy, 58-105 Świdnica, ul. Gen. Władysława Sikorskiego 41</t>
  </si>
  <si>
    <t>mechanik operator pojazdów i maszyn rolniczych</t>
  </si>
  <si>
    <t>Branżowa szkoła I Stopnia Nr 1 w Lubinie</t>
  </si>
  <si>
    <t>Branżowa Szkoła I Stopnia Zespół Szkół w Świebodzicach</t>
  </si>
  <si>
    <t>553.</t>
  </si>
  <si>
    <t>554.</t>
  </si>
  <si>
    <t>555.</t>
  </si>
  <si>
    <t>556.</t>
  </si>
  <si>
    <t>557.</t>
  </si>
  <si>
    <t>558.</t>
  </si>
  <si>
    <t>Branżowa Szkoła I Stopnia Zespół Szkól w Żarowie</t>
  </si>
  <si>
    <t>Powiatowy Zespół Szkół Nr 1 w Krzyżowicach</t>
  </si>
  <si>
    <t>Branżowa Szkoła I Stopnia w Ziębicach</t>
  </si>
  <si>
    <t>Branżowa szkoła I Stopnia w Zespole Szkół Zawodowych w Złotoryi</t>
  </si>
  <si>
    <t xml:space="preserve">Blacharz samochodowy </t>
  </si>
  <si>
    <t>Branżowa szkoła I Stopnia w Zespole Szkół Ekonomiczno-Technicznych w Rakowicach Wielkich</t>
  </si>
  <si>
    <t>Złotnik</t>
  </si>
  <si>
    <t>Branżowa Szkoła I Stopnia w Kowarach</t>
  </si>
  <si>
    <t>Branżowa Szkoła I Stopnia nr 1 Środzie Śląskiej</t>
  </si>
  <si>
    <t>Branżowa szkoła I Stopnia w Zespole Szkół Zawodowych im. Stanisława Staszica w Ząbkowicach Śląskich</t>
  </si>
  <si>
    <t>Zespół Szkół Ponadpodstawowych im. Hipolita Cegielskiego w Ziębicach ul. Wojska Polskiego 3, 57-220 Ziębice</t>
  </si>
  <si>
    <t>Szkoła Branżowa I stopnia w Zespole Szkół Nr 1 w Świdnicy</t>
  </si>
  <si>
    <t>Branżowa Szkoła I Stopnia Powiatowy Zespół Szkół Nr 2 w Trzebnicy</t>
  </si>
  <si>
    <t>Zespół Szkół Mechanicznych w Głubczycach</t>
  </si>
  <si>
    <t>Zespół Szkół w Chocianowie</t>
  </si>
  <si>
    <t>Branżowa szkoła I Stopnia w Kudowie-Zdroju</t>
  </si>
  <si>
    <t>Kudowa - Zdrój</t>
  </si>
  <si>
    <t xml:space="preserve">Ślusarz </t>
  </si>
  <si>
    <t xml:space="preserve">Zespół Szkół Ponadpodstawowych w Zgorzelcu Branżowa szkoła I Stopnia </t>
  </si>
  <si>
    <t xml:space="preserve">kucharz  </t>
  </si>
  <si>
    <t xml:space="preserve">magazynier – logistyk  </t>
  </si>
  <si>
    <t xml:space="preserve">ślusarz  </t>
  </si>
  <si>
    <t>kierowca-mechanik</t>
  </si>
  <si>
    <t>Centrum Kształcenia i Praktycznego Ustawicznego we Wschowie, Plac Kosynierów 1, 67-400 Wschowa</t>
  </si>
  <si>
    <t>Branżowa szkoła I Stopnia w Sycowie</t>
  </si>
  <si>
    <t>Branżowa Szkoła I stopnia nr 5 im. Jana Kilińskiego we Wrocławiu</t>
  </si>
  <si>
    <t>Centrum Kształcenia Zawodowego "Rzemieślnik", 50-061 Wrocław, Plac Solny 13</t>
  </si>
  <si>
    <t>Zespół Szkół Ponadgimnazjalnych, 42-780  Dobrodzień, ul. Oleska 7 CKZ Dobrodzień</t>
  </si>
  <si>
    <t>CKZ Wrocław</t>
  </si>
  <si>
    <t>Branżowa Szkoła I Stopnia im.KEN w Brzegu Dolnym</t>
  </si>
  <si>
    <t xml:space="preserve">Zespół Szkół Technicnzych "Mechanik" </t>
  </si>
  <si>
    <t>Operator maszyn i urządzeń do przetw. tw. sztucznych</t>
  </si>
  <si>
    <t xml:space="preserve">tapicer </t>
  </si>
  <si>
    <t>ODiDZ Krotoszyn</t>
  </si>
  <si>
    <t>Branżowa szkoła I Stopnia Cechu Rzemiosł Różnych i Małej Przedsiębiorczości w Bielawie</t>
  </si>
  <si>
    <t>Centrum Kształcenia Zawodowego Cechu Rzemiosł Różnych i Małej Przedsiębiorczości w Bielawie, ul. Polna 2, 58-260 Bielawa</t>
  </si>
  <si>
    <t xml:space="preserve">Branżowa Szkoła I stopnia Specjalna  nr 3 w Oławie, Zespół Szkół Specjalnych im.l Ireny Komorowskiej w Oławie </t>
  </si>
  <si>
    <t>Wojewódzki Zakład Doskonalenia Zawodowego w Opolu, ul. Małopolska 18,  45-301 Opole</t>
  </si>
  <si>
    <t>Opole</t>
  </si>
  <si>
    <t>CKZ Opole</t>
  </si>
  <si>
    <t>15.02.2020-12.03.2020</t>
  </si>
  <si>
    <t>560.</t>
  </si>
  <si>
    <t>561.</t>
  </si>
  <si>
    <t>562.</t>
  </si>
  <si>
    <t>563.</t>
  </si>
  <si>
    <t>564.</t>
  </si>
  <si>
    <t xml:space="preserve">elektromechanik </t>
  </si>
  <si>
    <t>ZESPOL</t>
  </si>
  <si>
    <t>T2_NAZWA</t>
  </si>
  <si>
    <t>T2_ADRES</t>
  </si>
  <si>
    <t>T2_MIEJSCOWOSC</t>
  </si>
  <si>
    <t>T1_DYREKTOR</t>
  </si>
  <si>
    <t>T1_MAIL</t>
  </si>
  <si>
    <t>Zespół Szkół i Placówek Kształcenia Zawodowego w Bielawie</t>
  </si>
  <si>
    <t>Branżowa Szkoła I Stopnia w Bielawie</t>
  </si>
  <si>
    <t>ul. Stefana Żeromskiego 41</t>
  </si>
  <si>
    <t>Ireneusz Rutowicz</t>
  </si>
  <si>
    <t>zs-bielawa@wp.pl</t>
  </si>
  <si>
    <t>Szkoła Wielobranżowa w Bielawie</t>
  </si>
  <si>
    <t>ul. Wolności 105</t>
  </si>
  <si>
    <t>Zespół Szkół Cechu Rzemiosł Różnych w Bielawie</t>
  </si>
  <si>
    <t>ul. Polna 2</t>
  </si>
  <si>
    <t>zszc.bielawa@wp.pl</t>
  </si>
  <si>
    <t>Zespół Szkół Zawodowych w Bogatyni</t>
  </si>
  <si>
    <t>Branżowa Szkoła I Stopnia im. św. Barbary w Bogatyni</t>
  </si>
  <si>
    <t>ul. Tadeusza Kościuszki 33</t>
  </si>
  <si>
    <t>zszbogatynia@o2.pl</t>
  </si>
  <si>
    <t>Zespół Szkół Budowlanych w Bolesławcu</t>
  </si>
  <si>
    <t>Branżowa Szkoła I Stopnia Nr 2 w Bolesławcu</t>
  </si>
  <si>
    <t>Aleja Tysiąclecia 51</t>
  </si>
  <si>
    <t>Powiatowy Zespół Szkół i Placówek Specjalnych w Bolesławcu</t>
  </si>
  <si>
    <t>Branżowa Szkoła I Stopnia Specjalna w Bolesławcu</t>
  </si>
  <si>
    <t>ul. Zgorzelecka 28/29</t>
  </si>
  <si>
    <t>Sylwia Marcinko-Kozik</t>
  </si>
  <si>
    <t>pzsips.bol@op.pl</t>
  </si>
  <si>
    <t>Zespół Szkół Handlowych i Usługowych im. Jana Kochanowskiego w Bolesławcu</t>
  </si>
  <si>
    <t>Branżowa Szkoła I Stopnia Nr 5 w Bolesławcu</t>
  </si>
  <si>
    <t>ul. Zgorzelecka 18</t>
  </si>
  <si>
    <t>Zespół Szkół Ogólnokształcących i Zawodowych im. mjra Henryka Sucharskiego w Bolesławcu</t>
  </si>
  <si>
    <t>Branżowa Szkoła I Stopnia Nr 3 w Bolesławcu</t>
  </si>
  <si>
    <t>ul. Komuny Paryskiej 6</t>
  </si>
  <si>
    <t>Laura Słocka</t>
  </si>
  <si>
    <t>zsoiz1@poczta.onet.pl</t>
  </si>
  <si>
    <t>Zespół Szkół i Placówek im. Wincentego Witosa w Bolkowie</t>
  </si>
  <si>
    <t>Branżowa Szkoła I stopnia w Bolkowie</t>
  </si>
  <si>
    <t>ul. Niepodległości 17</t>
  </si>
  <si>
    <t>Bolków</t>
  </si>
  <si>
    <t>Beata Zalewska</t>
  </si>
  <si>
    <t>zsabolkow@wp.pl</t>
  </si>
  <si>
    <t>Zespół Szkół Zawodowych w Brzegu Dolnym</t>
  </si>
  <si>
    <t>Branżowa Szkoła I stopnia im. Komisji Edukacji Narodowej w Brzegu Dolnym</t>
  </si>
  <si>
    <t>ul. 1-go Maja 1A</t>
  </si>
  <si>
    <t>Zespół Szkół Ponadpodstawowych w Bystrzycy Kłodzkiej</t>
  </si>
  <si>
    <t>Branżowa Szkoła I stopnia w Bystrzycy Kłodzkiej</t>
  </si>
  <si>
    <t>ul. Juliusza Słowackiego 4</t>
  </si>
  <si>
    <t>Branżowa Szkoła I Stopnia w Chocianowie</t>
  </si>
  <si>
    <t>ul. Kolonialna 13</t>
  </si>
  <si>
    <t>Branżowa Szkoła I stopnia w Chojnowie</t>
  </si>
  <si>
    <t>ul. Wojska Polskiego 16</t>
  </si>
  <si>
    <t>Specjalny Ośrodek Szkolno Wychowawczy w Dzierżoniowie</t>
  </si>
  <si>
    <t>Branżowa Szkoła I Stopnia Specjalna Nr 3 w Dzierżoniowie</t>
  </si>
  <si>
    <t>ul. Nowowiejska 74 i 76</t>
  </si>
  <si>
    <t>Bożena Karasek</t>
  </si>
  <si>
    <t>sosw.dzierzoniow@interia.pl</t>
  </si>
  <si>
    <t>Zespół Szkół Nr 1 im. prof. Wilhelma Rotkiewicza w Dzierżoniowie</t>
  </si>
  <si>
    <t>Branżowa Szkoła I Stopnia Nr 1 w Dzierżoniowie</t>
  </si>
  <si>
    <t>ul. Adama Mickiewicza 8</t>
  </si>
  <si>
    <t>Aneta Błaszczuk</t>
  </si>
  <si>
    <t>sekretariat@zs1-radiobuda.pl</t>
  </si>
  <si>
    <t>Zespół Szkół Nr 2 im. prof. Tadeusza Kotarbińskiego w Dzierżoniowie</t>
  </si>
  <si>
    <t>Branżowa Szkoła I Stopnia Nr 2 w Dzierżoniowie - Zespół Szkół Nr 2 im. prof. Tadeusza Kotarbińskiego w Dzierżoniowie</t>
  </si>
  <si>
    <t>ul. Marszałka Józefa Piłsudskiego 24</t>
  </si>
  <si>
    <t>Zakład Poprawczy i Schronisko dla Nieletnich w Głogowie</t>
  </si>
  <si>
    <t>Branżowa Szkoła I Stopnia nr 5 w Zakładzie Poprawczym i Schronisku dla Nieletnich w Głogowie</t>
  </si>
  <si>
    <t>ul. Obrońców Pokoju 19</t>
  </si>
  <si>
    <t>Jarosław Komisarek</t>
  </si>
  <si>
    <t>sekretariat@zp.glogow.pl</t>
  </si>
  <si>
    <t>Zespół Placówek Szkolno - Wychowawczych w Głogowie</t>
  </si>
  <si>
    <t>Specjalna Branżowa Szkoła I stopnia w Głogowie</t>
  </si>
  <si>
    <t>ul. Sportowa 1</t>
  </si>
  <si>
    <t>Marta Greber</t>
  </si>
  <si>
    <t>zpsw.glogow@wp.pl</t>
  </si>
  <si>
    <t>Zespół Szkół Technicznych i Ogólnokształcących w Głogowie</t>
  </si>
  <si>
    <t>Branżowa Szkoła I stopnia nr 1 w Głogowie</t>
  </si>
  <si>
    <t>ul. Perseusza 5</t>
  </si>
  <si>
    <t>Zespół Szkół im. Jana Wyżykowskiego w Głogowie</t>
  </si>
  <si>
    <t>Branżowa Skoła I Stopnia nr 6 w Głogowie</t>
  </si>
  <si>
    <t>ul. Wita Stwosza 3A</t>
  </si>
  <si>
    <t>Piotr Rossa</t>
  </si>
  <si>
    <t>zswyzykowskiego@wp.pl</t>
  </si>
  <si>
    <t>Zespół Szkół Ekonomicznych im. Jana Pawła II w Głogowie</t>
  </si>
  <si>
    <t>Branżowa Szkoła I stopnia nr 3 w Głogowie</t>
  </si>
  <si>
    <t>ul. Karola Miarki 1</t>
  </si>
  <si>
    <t>Wojciech Janisio</t>
  </si>
  <si>
    <t>zseglogow@poczta.onet.pl</t>
  </si>
  <si>
    <t>Zespół Szkół Samochodowych i Budowlanych im. Leonarda da Vinci w Głogowie</t>
  </si>
  <si>
    <t>Branżowa Szkoła I stopnia nr 4 w Głogowie</t>
  </si>
  <si>
    <t>ul. Piastowska 2 A</t>
  </si>
  <si>
    <t>Sylwia Chodor</t>
  </si>
  <si>
    <t>zssib@zssglogow.hg.pl</t>
  </si>
  <si>
    <t>Zespół Szkół Politechnicznych w Głogowie</t>
  </si>
  <si>
    <t>Branżowa Szkoła I stopnia nr 2 w Głogowie</t>
  </si>
  <si>
    <t>Plac Jana z Głogowa 7</t>
  </si>
  <si>
    <t>Paweł Korzeń</t>
  </si>
  <si>
    <t>szkola@zszglogow.pl</t>
  </si>
  <si>
    <t>Zespół Szkół Przyrodniczych i Branżowych w Głogowie</t>
  </si>
  <si>
    <t>Branżowa Szkoła I stopnia nr 7 w Głogowie</t>
  </si>
  <si>
    <t>ul. Folwarczna 55</t>
  </si>
  <si>
    <t>Elżbieta Sawczak</t>
  </si>
  <si>
    <t>rolglogow@poczta.onet.pl</t>
  </si>
  <si>
    <t>Zespół Szkół im. gen. Sylwestra Kaliskiego w Górze</t>
  </si>
  <si>
    <t>Branżowa Szkoła I stopnia w Górze</t>
  </si>
  <si>
    <t>ul. Armii Polskiej 15 A</t>
  </si>
  <si>
    <t>Zespół Szkół Ogólnokształcących i Zawodowych im. Jana Pawła II w Gryfowie Śląskim</t>
  </si>
  <si>
    <t>Branżowa Szkoła I Stopnia w Gryfowie Śląskim</t>
  </si>
  <si>
    <t>ul. Kolejowa 16</t>
  </si>
  <si>
    <t>Specjalny Ośrodek Szkolno Wychowawczy im. Marii Konopnickiej w Jaworze</t>
  </si>
  <si>
    <t>Branżowa Szkoła Specjalna I stopnia w Jaworze</t>
  </si>
  <si>
    <t>ul. Ignacego Paderewskiego 6</t>
  </si>
  <si>
    <t>Franciszek Materniak</t>
  </si>
  <si>
    <t>soswjawor@poczta.onet.pl</t>
  </si>
  <si>
    <t>Powiatowe Centrum Kształcenia Zawodowego i Ustawicznego im. Komisji Edukacji Narodowej w Jaworze</t>
  </si>
  <si>
    <t>Branżowa Szkoła I stopnia w Jaworze</t>
  </si>
  <si>
    <t>ul. Wrocławska 30 A</t>
  </si>
  <si>
    <t>Dolnośląski Młodzieżowy Ośrodek Wychowawczy w Jaworze</t>
  </si>
  <si>
    <t>Branżowa Szkoła Specjalna I Stopnia w Jaworze</t>
  </si>
  <si>
    <t>ul. Legnicka 16</t>
  </si>
  <si>
    <t>Mariusz Barański</t>
  </si>
  <si>
    <t>sekretariat@mowjawor.interia.pl</t>
  </si>
  <si>
    <t>Zespół Szkół im. J. Kasprowicza w Jelczu-Laskowicach</t>
  </si>
  <si>
    <t>Branżowa Szkoła I stopnia w Jelczu-Laskowicach</t>
  </si>
  <si>
    <t>ul. Techników 26</t>
  </si>
  <si>
    <t>Jelcz-Laskowice</t>
  </si>
  <si>
    <t>Zespół Szkół Ekonomiczno Turystycznych w Jeleniej Górze</t>
  </si>
  <si>
    <t>Branżowa Szkoła I stopnia</t>
  </si>
  <si>
    <t>ul. Marszałka Józefa Piłsudskiego 27</t>
  </si>
  <si>
    <t>Joanna Marczewska</t>
  </si>
  <si>
    <t>sekretariat@ekonom.jgora.pl</t>
  </si>
  <si>
    <t>Zespół Szkół Elektronicznych im. Obrońców Poczty Polskiej w Jeleniej Górze</t>
  </si>
  <si>
    <t>Branżowa Szkoła I stopnia w Zespole Szkół Elektronicznych im. Obrońców Poczty Polskiej w Jeleniej Górze</t>
  </si>
  <si>
    <t>ul. Grunwaldzka 64 A</t>
  </si>
  <si>
    <t>Mirosław Ciesielski</t>
  </si>
  <si>
    <t>elektronik@zsejg.edu.pl</t>
  </si>
  <si>
    <t>Zespół Szkół Rzemiosł Artystycznych w Jeleniej Górze im. Stanisława Wyspiańskiego</t>
  </si>
  <si>
    <t>Branżowa Szkoła I stopnia w Zespole Szkół Rzemiosł Artystycznych im. Stanisława Wyspiańskiego w Jeleniej Górze</t>
  </si>
  <si>
    <t>ul. Cieplicka 34</t>
  </si>
  <si>
    <t>Anna Szydłowska-Robak</t>
  </si>
  <si>
    <t>zsart@zsart.edu.pl</t>
  </si>
  <si>
    <t>Zespół Szkół Licealnych i Zawodowych nr 2 im. Stanisława Staszica w Jeleniej Górze</t>
  </si>
  <si>
    <t>Branżowa Szkoła I stopnia w Zespole Szkół Licealnych i Zawodowych nr 2 w Jeleniej Górze</t>
  </si>
  <si>
    <t>ul. 1-go Maja 39/41</t>
  </si>
  <si>
    <t>Zespół Szkół Technicznych "Mechanik" w Jeleniej Górze</t>
  </si>
  <si>
    <t>Branżowa Szkoła I stopnia w Zespole Szkół Technicznych "Mechanik" w Jeleniej Górze</t>
  </si>
  <si>
    <t>ul. Obrońców Pokoju 10</t>
  </si>
  <si>
    <t>Zespół Szkół Przyrodniczo-Usługowych i Bursy Szkolnej w Jeleniej Górze</t>
  </si>
  <si>
    <t>Branżowa Szkoła I stopnia w Zespole Szkół Przyrodniczo-Usługowych i Bursy Szkolnej w Jeleniej Górze</t>
  </si>
  <si>
    <t>ul. Leśna 5</t>
  </si>
  <si>
    <t>Paweł Dornoga</t>
  </si>
  <si>
    <t>zspu.jgora@gmail.com</t>
  </si>
  <si>
    <t>Specjalny Ośrodek Szkolno-Wychowawczy w Jeleniej Górze</t>
  </si>
  <si>
    <t>Specjalna Branżowa Szkoła I stopnia w Specjalnym Ośrodku Szkolno-Wychowawczym w Jeleniej Górze</t>
  </si>
  <si>
    <t>ul. Kruszwicka 3</t>
  </si>
  <si>
    <t>Romuald Szpot</t>
  </si>
  <si>
    <t>zsipssekretariat@wp.pl</t>
  </si>
  <si>
    <t>Zakład Poprawczy w Jerzmanicach-Zdroju</t>
  </si>
  <si>
    <t>Branżowa Szkoła I stopnia w Zakładzie Poprawczym w Jerzmanicach-Zdroju</t>
  </si>
  <si>
    <t>Jerzmanice-Zdrój 20</t>
  </si>
  <si>
    <t>Jerzmanice-Zdrój</t>
  </si>
  <si>
    <t>Jacek Tyc</t>
  </si>
  <si>
    <t>sekretariat@jerzmanice.zp.gov.pl</t>
  </si>
  <si>
    <t>Zespół Szkół Zawodowych i Ogólnokształcących im. 29 Pułku Piechoty 2 Armii Wojska Polskiego w Kamiennej Górze</t>
  </si>
  <si>
    <t>Szkoła Branżowa I stopnia w Kamiennej Górze</t>
  </si>
  <si>
    <t>ul. gen. Romualda Traugutta 2</t>
  </si>
  <si>
    <t>Dolnośląski Zespół Szkół w Karpaczu</t>
  </si>
  <si>
    <t>Szkoła Branżowa I stopnia w Karpaczu</t>
  </si>
  <si>
    <t>ul. Gimnazjalna 7</t>
  </si>
  <si>
    <t>Karpacz</t>
  </si>
  <si>
    <t>Bogusława Kozłowska</t>
  </si>
  <si>
    <t>sekretariat@zsp.karpacz.pl</t>
  </si>
  <si>
    <t>Branżowa Szkoła I Stopnia Specjalna Nr 3 w Kłodzku</t>
  </si>
  <si>
    <t>ul. Warty 70</t>
  </si>
  <si>
    <t>Krzysztof Szymański</t>
  </si>
  <si>
    <t>zszspklodzko@wp.pl</t>
  </si>
  <si>
    <t>Kłodzka Szkoła Przedsiębiorczości</t>
  </si>
  <si>
    <t>Branżowa Szkoła I stopnia Nr 2 w Kłodzku</t>
  </si>
  <si>
    <t>ul. Szkolna 8</t>
  </si>
  <si>
    <t>Zespół Szkół Ogólnokształcących w Kowarach</t>
  </si>
  <si>
    <t>Branżowa Szkoła I stopnia w Kowarach</t>
  </si>
  <si>
    <t>ul. Szkolna 1</t>
  </si>
  <si>
    <t>Szkoła Branżowa I stopnia w Krzyżowicach</t>
  </si>
  <si>
    <t>Krzyżowice  ul. Główna 2</t>
  </si>
  <si>
    <t>Zespół Szkół Publicznych im. Jana Pawła II w Kudowie-Zdroju</t>
  </si>
  <si>
    <t>Branżowa Szkoła I stopnia w Kudowie-Zdroju</t>
  </si>
  <si>
    <t>Kudowa-Zdrój</t>
  </si>
  <si>
    <t>Sylwia Bielawska</t>
  </si>
  <si>
    <t>Zespół Placówek Specjalnych w Legnicy</t>
  </si>
  <si>
    <t>Branżowa Szkoła Specjalna I Stopnia Nr 7 w Legnicy</t>
  </si>
  <si>
    <t>ul. Rycerska 13</t>
  </si>
  <si>
    <t>Bożena Zakowicz</t>
  </si>
  <si>
    <t>sekretariat@zps.legnica.eu</t>
  </si>
  <si>
    <t>Zespół Szkół Technicznych i Ogólnokształcących im. Henryka Pobożnego w Legnicy</t>
  </si>
  <si>
    <t>Branżowa Szkoła I Stopnia Nr 4 w Legnicy</t>
  </si>
  <si>
    <t>ul. Złotoryjska 144</t>
  </si>
  <si>
    <t>Stella Święcińska</t>
  </si>
  <si>
    <t>szkola@zstio.legnica.eu</t>
  </si>
  <si>
    <t>Zespół Szkół Budowlanych im. Wojska Polskiego w Legnicy</t>
  </si>
  <si>
    <t>Branżowa Szkoła I Stopnia Nr 5 w Legnicy</t>
  </si>
  <si>
    <t>ul. Władysława Grabskiego 14/22</t>
  </si>
  <si>
    <t>Tomasz Łabowicz</t>
  </si>
  <si>
    <t>bud85@wp.pl</t>
  </si>
  <si>
    <t>Zespół Szkół Elektryczno-Mechanicznych im. Mikołaja Kopernika w Legnicy</t>
  </si>
  <si>
    <t>Branżowa Szkoła I Stopnia nr 1 im. Mikołaja Kopernika w Legnicy</t>
  </si>
  <si>
    <t>ul. Fryderyka Skarbka 4</t>
  </si>
  <si>
    <t>p.o. Violetta Aktanorowicz</t>
  </si>
  <si>
    <t>zsemleg1@wp.pl</t>
  </si>
  <si>
    <t>Zespół Szkół Samochodowych w Legnicy</t>
  </si>
  <si>
    <t>Branżowa Szkoła I Stopnia Nr 2 w Legnicy</t>
  </si>
  <si>
    <t>ul. Słubicka 7</t>
  </si>
  <si>
    <t>Grzegorz Gargaś</t>
  </si>
  <si>
    <t>szkola@zss.legnica.eu</t>
  </si>
  <si>
    <t>Centrum Kształcenia Zawodowego i Ustawicznego w Legnicy</t>
  </si>
  <si>
    <t>ul. Lotnicza 26</t>
  </si>
  <si>
    <t>Zespół Szkół Ponadpodstawowych w Lubaniu</t>
  </si>
  <si>
    <t>Branżowa Szkoła I stopnia im. Stefana Drzewieckiego w Lubaniu</t>
  </si>
  <si>
    <t>ul. Leśna 8</t>
  </si>
  <si>
    <t>Eugeniusz Wiktor Zdunek</t>
  </si>
  <si>
    <t>zszluban@jg.onet.pl</t>
  </si>
  <si>
    <t>Zespół Szkół Zawodowych i Ogólnokształcących im. Kombatantów Ziemi Lubańskiej</t>
  </si>
  <si>
    <t>Branżowa Szkoła I stopnia w Lubaniu</t>
  </si>
  <si>
    <t>ul. Mikołaja Kopernika 31</t>
  </si>
  <si>
    <t>Zespół Szkół i Placówek Oświatowych w Lubinie</t>
  </si>
  <si>
    <t>Branżowa Szkoła I Stopnia Specjalna w Lubinie</t>
  </si>
  <si>
    <t>ul. Składowa 3</t>
  </si>
  <si>
    <t>Danuta Wantuła</t>
  </si>
  <si>
    <t>sekretariat@zsipo.lubin.pl</t>
  </si>
  <si>
    <t>Zespół Szkół Nr 1 im. prof. Bolesława Krupińskiego w Lubinie</t>
  </si>
  <si>
    <t>Branżowa Szkoła I Stopnia Nr 1 w Lubinie</t>
  </si>
  <si>
    <t>ul. Tadeusza Kościuszki 9</t>
  </si>
  <si>
    <t>Zespół Szkół Nr 2 im. Jana Wyżykowskiego w Lubinie</t>
  </si>
  <si>
    <t>Branżowa Szkoła I Stopnia Nr 2 w Lubinie</t>
  </si>
  <si>
    <t>ul. Szpakowa 1</t>
  </si>
  <si>
    <t>Artur Pastuch</t>
  </si>
  <si>
    <t>sekretariat@zs2lubin.pl</t>
  </si>
  <si>
    <t>Zespół Szkół Miedziowego Centrum Kształcenia Kadr w Lubinie</t>
  </si>
  <si>
    <t>Branżowa Szkoła I Stopnia MCKK w Lubinie</t>
  </si>
  <si>
    <t>ul. Marii Skłodowskiej-Curie 84</t>
  </si>
  <si>
    <t>Lucyna Kubis</t>
  </si>
  <si>
    <t>zsz@mckk.com.pl</t>
  </si>
  <si>
    <t>Zespół Szkół w Lubomierzu</t>
  </si>
  <si>
    <t>Branżowa Szkoła I stopnia w Lubomierzu</t>
  </si>
  <si>
    <t>ul. Fryderyka Chopina 9</t>
  </si>
  <si>
    <t>Zespół Placówek Edukacyjno - Wychowawczych w Lwówku Śląskim</t>
  </si>
  <si>
    <t>Branżowa Szkoła I stopnia Specjalna przy Specjalnym Ośrodku Szkolno-Wychowawczym w Lwówku Śląskim</t>
  </si>
  <si>
    <t>ul. Parkowa 9</t>
  </si>
  <si>
    <t>Lwówek Śląski</t>
  </si>
  <si>
    <t>Marek Sokołowski</t>
  </si>
  <si>
    <t>soswlwowek@wp.pl</t>
  </si>
  <si>
    <t>Branżowa Szkoła I stopnia Specjalna przy Młodzieżowym Ośrodku Wychowawczym</t>
  </si>
  <si>
    <t>Branżowa Szkoła I stopnia Specjalna przy Młodzieżowym Ośrodku Socjoterapii w Lwówku Śląskim</t>
  </si>
  <si>
    <t>ul. Pałacowa 8</t>
  </si>
  <si>
    <t>Zespół Szkół Ogólnokształcących i Zawodowych w Lwówku Śląskim</t>
  </si>
  <si>
    <t>Brażowa szkola I stopnia w Lwówku Śląskim</t>
  </si>
  <si>
    <t>ul. Henryka Brodatego 1</t>
  </si>
  <si>
    <t>Roman Ciechanowicz</t>
  </si>
  <si>
    <t>zsz6@wp.pl</t>
  </si>
  <si>
    <t>Zespół Szkół Ponadpodstawowych im. Orła Białego w Międzyborzu</t>
  </si>
  <si>
    <t>Branżowa Szkoła I stopnia w Międzyborzu</t>
  </si>
  <si>
    <t>ul. Wrocławska 2</t>
  </si>
  <si>
    <t>Noworudzka Szkoła Techniczna w Nowej Rudzie</t>
  </si>
  <si>
    <t>Branżowa Szkoła I stopnia im. Stanisława Staszica w Nowej Rudzie</t>
  </si>
  <si>
    <t>ul. Stara Droga 4</t>
  </si>
  <si>
    <t>Zespół Szkół Zawodowych im. Marii Skłodowskiej - Curie w Oleśnicy</t>
  </si>
  <si>
    <t>ul. Wojska Polskiego 67/69</t>
  </si>
  <si>
    <t>Zespół Placówek Specjalnych w Oleśnicy</t>
  </si>
  <si>
    <t>Branżowa Szkoła Specjalna I stopnia nr 2 w Oleśnicy</t>
  </si>
  <si>
    <t>ul. Wojska Polskiego 8</t>
  </si>
  <si>
    <t>Danuta Aulich</t>
  </si>
  <si>
    <t>sosw_olesnica@poczta.onet.pl</t>
  </si>
  <si>
    <t>Branżowa Szkoła I stopnia Nr 1 w Oławie</t>
  </si>
  <si>
    <t>ul. ks. Franciszka Kutrowskiego 31</t>
  </si>
  <si>
    <t>Zespół Szkół im. Zjednoczonej Europy  w Oławie</t>
  </si>
  <si>
    <t>Branżowa Szkoła I stopnia Nr 2 w Oławie</t>
  </si>
  <si>
    <t>ul. 3-go Maja 18 E</t>
  </si>
  <si>
    <t>Zespół Szkół Specjalnych w Oławie</t>
  </si>
  <si>
    <t>Branżowa Szkoła I stopnia Specjalna Nr 3 w Oławie</t>
  </si>
  <si>
    <t>ul. Jarosława Iwaszkiewicza 9A</t>
  </si>
  <si>
    <t>Branżowa Szkoła I Stopnia w Polkowicach</t>
  </si>
  <si>
    <t>ul. Skalników 6</t>
  </si>
  <si>
    <t>Zespół Szkół im. Ireny Sendler w Przemkowie</t>
  </si>
  <si>
    <t>Branżowa Szkoła I Stopnia w Przemkowie</t>
  </si>
  <si>
    <t>ul. Leśna Góra 3</t>
  </si>
  <si>
    <t>Zespół Szkół Ekonomiczno - Technicznych im. Kombatantów Ziemi Lwóweckiej w Rakowicach Wielkich</t>
  </si>
  <si>
    <t>Branżowa Szkoła I stponia w Rakowicach Wielkich</t>
  </si>
  <si>
    <t>Rakowice Wielkie 48</t>
  </si>
  <si>
    <t>Branżowa Szkoła I stopnia w Strzegomiu</t>
  </si>
  <si>
    <t>ul. Krótka 6</t>
  </si>
  <si>
    <t>Centrum Kształcenia Zawodowego i Ustawicznego w Strzelinie</t>
  </si>
  <si>
    <t>Szkoła Branżowa I stopnia im. Bohaterów Westerplatte w Strzelinie</t>
  </si>
  <si>
    <t>ul. Stanisława Staszica 5</t>
  </si>
  <si>
    <t>Zespół Szkół Ponadpodstawowych w Sycowie</t>
  </si>
  <si>
    <t>Branżowa Szkoła I stopnia w Sycowie</t>
  </si>
  <si>
    <t>ul. Ignacego Daszyńskiego 42</t>
  </si>
  <si>
    <t>Powiatowy Zespół Szkół Nr 1 im. Mikołaja Kopernika w Środzie Śląskiej</t>
  </si>
  <si>
    <t>Branżowa Szkoła I stopnia nr 1 w Środzie Śląskiej</t>
  </si>
  <si>
    <t>ul. Wrocławska 12</t>
  </si>
  <si>
    <t>Powiatowy Zespół Szkół nr 2 im. Wincentego Witosa w Środzie Śląskiej</t>
  </si>
  <si>
    <t>Branżowa Szkoła I stopnia nr 2 w Środzie Śląskiej</t>
  </si>
  <si>
    <t>ul. Świętego Andrzeja 4</t>
  </si>
  <si>
    <t>Jolanta Bilińska</t>
  </si>
  <si>
    <t>pzsp2@powiat-sredzki.pl</t>
  </si>
  <si>
    <t>Zespół Szkół Nr 1 w Świdnicy</t>
  </si>
  <si>
    <t>Branżowa szkoła I stopnia nr 1 w Świdnicy</t>
  </si>
  <si>
    <t>ul. Budowlana 7-9</t>
  </si>
  <si>
    <t>ul. Wałbrzyska 54</t>
  </si>
  <si>
    <t>Zespół Szkół w Świebodzicach</t>
  </si>
  <si>
    <t>ul. Marszałka Józefa Piłsudskiego 31</t>
  </si>
  <si>
    <t>Magdalena Pawłojć</t>
  </si>
  <si>
    <t>Powiatowy Zespół Szkół Nr 2 im. Piotra Włostowica w Trzebnicy</t>
  </si>
  <si>
    <t>Branżowa Szkoła I Stopnia w Powiatowym Zespole Szkół Nr 2 im. Piotra Włostowica w Trzebnicy</t>
  </si>
  <si>
    <t>ul. Stefana Żeromskiego 25</t>
  </si>
  <si>
    <t>Powiatowy Zespół Specjalnych Placówek Szkolno-Wychowawczych w Trzebnicy</t>
  </si>
  <si>
    <t>Branżowa Szkoła Specjalna I Stopnia nr 2 w Powiatowym Zespole Specjalnych Placówek Szkolno-Wychowawczych w Trzebnicy</t>
  </si>
  <si>
    <t>ul. Nowa 1</t>
  </si>
  <si>
    <t>Zespół Szkół Ponadpodstawowych im. Jarosława Iwaszkiewicza w Twardogórze</t>
  </si>
  <si>
    <t>Branżowa Szkoła I stopnia w Twardogórze</t>
  </si>
  <si>
    <t>ul. Stanisława Staszica 3</t>
  </si>
  <si>
    <t>Rzemieślnicza Branżowa Szkoła I stopnia im. Stanisława Palucha</t>
  </si>
  <si>
    <t>ul. Osiedle Górnicze 29</t>
  </si>
  <si>
    <t>Zespół Szkół Zawodowych w Wołowie</t>
  </si>
  <si>
    <t>Branżowa Szkoła I stopnia w Wołowie</t>
  </si>
  <si>
    <t>ul. Spacerowa 1</t>
  </si>
  <si>
    <t>Zespół Szkół Specjalnych i Placówek Oświatowych w Wołowie</t>
  </si>
  <si>
    <t>Branżowa Szkoła I stopnia Specjalna nr 4 w Wołowie</t>
  </si>
  <si>
    <t>ul. Inwalidów Wojennych 10</t>
  </si>
  <si>
    <t>Ewa Alicja Budzińska</t>
  </si>
  <si>
    <t>zss.w@powiatwolowski.pl</t>
  </si>
  <si>
    <t>Lotnicze Zakłady Naukowe we Wrocławiu</t>
  </si>
  <si>
    <t>Branżowa Szkoła I stopnia nr 6 we Wrocławiu</t>
  </si>
  <si>
    <t>ul. Kiełczowska 43</t>
  </si>
  <si>
    <t>Jolanta Mazurkiewicz-Kaczyńska</t>
  </si>
  <si>
    <t>Zespół Szkół nr 1 we Wrocławiu</t>
  </si>
  <si>
    <t>Branżowa Szkoła I stopnia nr 10 we Wrocławiu</t>
  </si>
  <si>
    <t>ul. Słubicka 29/33</t>
  </si>
  <si>
    <t>Paweł Kowalów</t>
  </si>
  <si>
    <t>sekretariat.zs01@wroclawskaedukacja.pl</t>
  </si>
  <si>
    <t>Zespół Szkół Budowlanych we Wrocławiu</t>
  </si>
  <si>
    <t>Branżowa Szkoła I stopnia nr 4 im. Gen. Józefa Bema we Wrocławiu</t>
  </si>
  <si>
    <t>ul. Grabiszyńska 236</t>
  </si>
  <si>
    <t>Grzegorz Łazorczyk</t>
  </si>
  <si>
    <t>sekretariat.zsb@wroclawskaedukacja.pl</t>
  </si>
  <si>
    <t>Zespół Szkół Gastronomicznych we Wrocławiu</t>
  </si>
  <si>
    <t>Branżowa Szkoła I stopnia nr 9 we Wrocławiu</t>
  </si>
  <si>
    <t>ul. Kamienna 86</t>
  </si>
  <si>
    <t>Małgorzata Frydel</t>
  </si>
  <si>
    <t>Zespół Szkół Teleinformatycznych i Elektronicznych we Wrocławiu</t>
  </si>
  <si>
    <t>Branżowa Szkoła I stopnia nr 1 im. Polskich Zwycięzców Enigmy we Wrocławiu</t>
  </si>
  <si>
    <t>ul. Gen. Józefa Haukego-Bosaka 21</t>
  </si>
  <si>
    <t>Rafał Cichocki</t>
  </si>
  <si>
    <t>szkola@zstie.edu.pl</t>
  </si>
  <si>
    <t>Zespół Szkół Logistycznych</t>
  </si>
  <si>
    <t>Branżowa Szkoła I stopnia nr 12 im. Stanisława Staszica we Wrocławiu</t>
  </si>
  <si>
    <t>ul. Jana Władysława Dawida 9-11</t>
  </si>
  <si>
    <t>Stella Gazdulska</t>
  </si>
  <si>
    <t>sekretariat.zsl@wroclawskaedukacja.pl</t>
  </si>
  <si>
    <t>Zespół Szkół Zawodowych nr 5 we Wrocławiu</t>
  </si>
  <si>
    <t>ul. Jana Władysława Dawida 5</t>
  </si>
  <si>
    <t>Zespół Szkół nr 18 we Wrocławiu</t>
  </si>
  <si>
    <t>Branżowa Szkoła I stopnia nr 3 we Wrocławiu</t>
  </si>
  <si>
    <t>ul. Młodych Techników 58</t>
  </si>
  <si>
    <t>Piotr Lusar</t>
  </si>
  <si>
    <t>piotr.lusar@zs18.wroc.pl</t>
  </si>
  <si>
    <t>Publiczna Szkoła Gastronomiczna Ho-Ga Branżowa</t>
  </si>
  <si>
    <t>ul. Jedności Narodowej 46 A</t>
  </si>
  <si>
    <t>Patryk Kleczkowski</t>
  </si>
  <si>
    <t>ho-ga@wp.pl</t>
  </si>
  <si>
    <t>Szkoły Europejskie we Wrocławiu</t>
  </si>
  <si>
    <t>Europejska Szkoła Branżowa I stopnia we Wrocławiu</t>
  </si>
  <si>
    <t>ul. Kruszwicka 8 A</t>
  </si>
  <si>
    <t>Robert Burszewski</t>
  </si>
  <si>
    <t>Branżowa Szkoła I stopnia Lider</t>
  </si>
  <si>
    <t>ul. Sołtysowicka 19b</t>
  </si>
  <si>
    <t>szkolazawodowa@mail.mwsl.eu</t>
  </si>
  <si>
    <t>Zespół Szkół Salezjańskich DON BOSCO</t>
  </si>
  <si>
    <t>Salezjańska Branżowa Szkoła I stopnia</t>
  </si>
  <si>
    <t>ul. Bolesława Prusa 78</t>
  </si>
  <si>
    <t>Jerzy Babiak</t>
  </si>
  <si>
    <t>dyrekcja@salez-wroc.pl</t>
  </si>
  <si>
    <t>Zespół Szkół Niepublicznych "Unlock"</t>
  </si>
  <si>
    <t>Niepubliczna Szkoła Branżowa "UNLOCK" I Stopnia</t>
  </si>
  <si>
    <t>ul. Aleksandra Ostrowskiego 30</t>
  </si>
  <si>
    <t>Agata Jankiewicz</t>
  </si>
  <si>
    <t>zespolszkol@unlock.wroclaw.pl</t>
  </si>
  <si>
    <t>Branżowa Szkoła I stopnia Elektroenergetyk</t>
  </si>
  <si>
    <t>ul. Henryka Sienkiewicza 6A</t>
  </si>
  <si>
    <t>Czesław Gersztyn</t>
  </si>
  <si>
    <t>teocezwroc@gmail.com</t>
  </si>
  <si>
    <t>Zespół Szkół Zawodowych im. Stanisława Staszica w Ząbkowicach Śląskich</t>
  </si>
  <si>
    <t>Branżowa Szkoła I stopnia w Zespole Szkół Zawodowych im. Stanisława Staszica w Ząbkowicach Śląskich</t>
  </si>
  <si>
    <t>ul. Wrocławska 17</t>
  </si>
  <si>
    <t>Branżowa Szkoła I stopnia Cechu Rzemiosł Różnych i Małej Przedsiębiorczości</t>
  </si>
  <si>
    <t>ul. Kasztanowa 2</t>
  </si>
  <si>
    <t>Specjalny Ośrodek Szkolno Wychowawczy im. Marii Grzegorzewskiej w Zgorzelcu</t>
  </si>
  <si>
    <t>Branżowa Szkoła Specjalna I stopnia w Zgorzelcu</t>
  </si>
  <si>
    <t>ul. Armii Krajowej 10 A</t>
  </si>
  <si>
    <t>Małgorzata Łasek-Dowiat</t>
  </si>
  <si>
    <t>soswzgorzelec@wp.pl</t>
  </si>
  <si>
    <t>Zespół Szkół Ponadpodstawowych w Zgorzelcu</t>
  </si>
  <si>
    <t>Branżowa Szkoła I stopnia im. Emilii Plater w Zgorzelcu</t>
  </si>
  <si>
    <t>ul. Francuska 6</t>
  </si>
  <si>
    <t>Zespół Szkół Ponadpodstawowych im. Hipolita Cegielskiego w Ziębicach</t>
  </si>
  <si>
    <t>Branżowa Szkoła I stopnia w Zespole Szkół Ponadpodstawowych im. Hipolita Cegielskiego w Ziębicach</t>
  </si>
  <si>
    <t>ul. Wojska Polskiego 3</t>
  </si>
  <si>
    <t>Specjalny Ośrodek Szkolno-Wychowawczy im. Janusza Korczaka w Złotoryi</t>
  </si>
  <si>
    <t>Branżowa Szkoła Specjalna I stopnia w Złotoryi</t>
  </si>
  <si>
    <t>ul. Stanisława Staszica 2</t>
  </si>
  <si>
    <t>Zespół Szkół Zawodowych im. mjra Henryka Sucharskiego w Złotoryi</t>
  </si>
  <si>
    <t>Branżowa Szkoła I stopnia w Złotoryi</t>
  </si>
  <si>
    <t>ul. Wojska Polskiego 50</t>
  </si>
  <si>
    <t>Zespół Szkół im. Jędrzeja Śniadeckiego w Żarowie</t>
  </si>
  <si>
    <t>Branżowa Szkoła I stponia</t>
  </si>
  <si>
    <t>ul. Zamkowa 10</t>
  </si>
  <si>
    <t>Powiatowy Zespół Szkół im. Jana Pawła II w Żmigrodzie</t>
  </si>
  <si>
    <t>Branżowa Szkoła I Stopnia w Powiatowym Zespole Szkół im. Jana Pawła II w Żmigrodzie</t>
  </si>
  <si>
    <t>ul. Willowa 5</t>
  </si>
  <si>
    <t>Branżowa Szkoła Specjalna I Stopnia w Zespole Szkół Specjalnych w Żmigrodzie</t>
  </si>
  <si>
    <t>ul. Rybacka 17</t>
  </si>
  <si>
    <t>Magdalena Brodala</t>
  </si>
  <si>
    <t>zsszmigrod@wp.pl</t>
  </si>
  <si>
    <t>Nazwa</t>
  </si>
  <si>
    <t>Status młodocianego pracownika</t>
  </si>
  <si>
    <t>Ulica</t>
  </si>
  <si>
    <t>Nr domu</t>
  </si>
  <si>
    <t>Nr lokalu</t>
  </si>
  <si>
    <t>Kod pocztowy</t>
  </si>
  <si>
    <t>Poczta</t>
  </si>
  <si>
    <t>Telefon</t>
  </si>
  <si>
    <t>e-Mail</t>
  </si>
  <si>
    <t>BRANŻOWA SZKOŁA I STOPNIA NR 1 W GŁOGOWIE</t>
  </si>
  <si>
    <t>ul. Perseusza</t>
  </si>
  <si>
    <t>5</t>
  </si>
  <si>
    <t/>
  </si>
  <si>
    <t>67-200</t>
  </si>
  <si>
    <t>768339634</t>
  </si>
  <si>
    <t>SZKOŁA WIELOBRANŻOWA W BIELAWIE</t>
  </si>
  <si>
    <t>ul. Wolności</t>
  </si>
  <si>
    <t>105</t>
  </si>
  <si>
    <t>58-260</t>
  </si>
  <si>
    <t>748331377</t>
  </si>
  <si>
    <t>RZEMIEŚLNICZA BRANŻOWA SZKOŁA I STOPNIA IM. STANISŁAWA PALUCHA</t>
  </si>
  <si>
    <t>ul. Osiedle Górnicze</t>
  </si>
  <si>
    <t>29</t>
  </si>
  <si>
    <t>58-308</t>
  </si>
  <si>
    <t>748473886</t>
  </si>
  <si>
    <t>BRANŻOWA SZKOŁA I STOPNIA IM.KOMISJI EDUKACJI NARODOWEJ</t>
  </si>
  <si>
    <t>ul. 1 Maja</t>
  </si>
  <si>
    <t>1A</t>
  </si>
  <si>
    <t>56-120</t>
  </si>
  <si>
    <t>713195894</t>
  </si>
  <si>
    <t>BRANŻOWA SZKOŁA I STOPNIA NR 1 W ŚWIDNICY</t>
  </si>
  <si>
    <t>ul. Budowlana</t>
  </si>
  <si>
    <t>7-9</t>
  </si>
  <si>
    <t>58-100</t>
  </si>
  <si>
    <t>748520700</t>
  </si>
  <si>
    <t>BRANŻOWA SZKOŁA I STOPNIA SPECJALNA NR 7 W ŚWIDNICY</t>
  </si>
  <si>
    <t>ul. Rotmistrza Witolda Pileckiego</t>
  </si>
  <si>
    <t>3</t>
  </si>
  <si>
    <t>748521485</t>
  </si>
  <si>
    <t>BRANŻOWA SZKOŁA I STOPNIA W STRZEGOMIU</t>
  </si>
  <si>
    <t>ul. Krótka</t>
  </si>
  <si>
    <t>6</t>
  </si>
  <si>
    <t>58-150</t>
  </si>
  <si>
    <t>746494870</t>
  </si>
  <si>
    <t>EUROPEJSKA SZKOŁA BRANŻOWA I STOPNIA WE WROCŁAWIU</t>
  </si>
  <si>
    <t>Wrocław-Stare Miasto</t>
  </si>
  <si>
    <t>ul. Kruszwicka</t>
  </si>
  <si>
    <t>8A</t>
  </si>
  <si>
    <t>53-652</t>
  </si>
  <si>
    <t>713504806</t>
  </si>
  <si>
    <t>biuro@szkolyeuropejskie.pl</t>
  </si>
  <si>
    <t>BRANŻOWA SZKOŁA I STOPNIA NR 3 W LEGNICY</t>
  </si>
  <si>
    <t>BRANŻOWA SZKOŁA I STOPNIA W ŻAROWIE</t>
  </si>
  <si>
    <t>ul. Lotnicza</t>
  </si>
  <si>
    <t>26</t>
  </si>
  <si>
    <t>59-220</t>
  </si>
  <si>
    <t>768524246</t>
  </si>
  <si>
    <t>sekretariat@ckziu.legnica.eu</t>
  </si>
  <si>
    <t>ul. Zamkowa</t>
  </si>
  <si>
    <t>10</t>
  </si>
  <si>
    <t>58-130</t>
  </si>
  <si>
    <t>748580403</t>
  </si>
  <si>
    <t>BRANŻOWA SZKOŁA I STOPNIA W ŚWIEBODZICACH</t>
  </si>
  <si>
    <t>ul. Marszałka Józefa Piłsudskiego</t>
  </si>
  <si>
    <t>31</t>
  </si>
  <si>
    <t>58-160</t>
  </si>
  <si>
    <t>746669905</t>
  </si>
  <si>
    <t>SZKOŁA BRANŻOWA I STOPNIA W ZESPOLE SZKÓŁ ZAWODOWYCH IM. STANISŁAWA STASZICA W ZĄBKOWICACH ŚLĄSKICH</t>
  </si>
  <si>
    <t>ul. Wrocławska</t>
  </si>
  <si>
    <t>17</t>
  </si>
  <si>
    <t>57-200</t>
  </si>
  <si>
    <t>748152329</t>
  </si>
  <si>
    <t>BRANŻOWA SZKOŁA I STOPNIA NR 1 W BOLESŁAWCU</t>
  </si>
  <si>
    <t>ul. Górne Młyny</t>
  </si>
  <si>
    <t>1</t>
  </si>
  <si>
    <t>59-700</t>
  </si>
  <si>
    <t>757323001</t>
  </si>
  <si>
    <t>zsm_bc@pro.onet.pl</t>
  </si>
  <si>
    <t>SZKOŁA BRANŻOWA I STOPNIA</t>
  </si>
  <si>
    <t>ul. Romualda Traugutta</t>
  </si>
  <si>
    <t>2</t>
  </si>
  <si>
    <t>58-400</t>
  </si>
  <si>
    <t>756450200</t>
  </si>
  <si>
    <t>zszio@kamienna-gora.pl</t>
  </si>
  <si>
    <t>BRANŻOWA SZKOŁA SPECJALNA I STOPNIA</t>
  </si>
  <si>
    <t>ul. Ignacego Paderewskiego</t>
  </si>
  <si>
    <t>59-400</t>
  </si>
  <si>
    <t>768702472</t>
  </si>
  <si>
    <t>soswjawor@soswjawor.pl</t>
  </si>
  <si>
    <t>BRANŻOWA SZKOŁA I STOPNIA "RZEMIEŚLNIK" W ŚWIDNICY</t>
  </si>
  <si>
    <t>ul. Wałbrzyska</t>
  </si>
  <si>
    <t>54</t>
  </si>
  <si>
    <t>748530312</t>
  </si>
  <si>
    <t>BRANŻOWA SZKOŁA I STOPNIA</t>
  </si>
  <si>
    <t>30a</t>
  </si>
  <si>
    <t>768703088</t>
  </si>
  <si>
    <t>BRANŻOWA SZKOŁA I STOPNIA NR 1</t>
  </si>
  <si>
    <t>12</t>
  </si>
  <si>
    <t>55-300</t>
  </si>
  <si>
    <t>713173239</t>
  </si>
  <si>
    <t>BRANŻOWA SZKOŁA I STOPNIA CECHU RZEMIOSŁ RÓŻNYCH I MAŁEJ PRZEDSIĘBIORCZOŚCI</t>
  </si>
  <si>
    <t>ul. Kasztanowa</t>
  </si>
  <si>
    <t>748100862</t>
  </si>
  <si>
    <t>BRANŻOWA SZKOŁA I STOPNIA NR 2 W OŁAWIE</t>
  </si>
  <si>
    <t>BRANŻOWA SZKOŁA I STOPNIA NR 1 W OŁAWIE</t>
  </si>
  <si>
    <t>ul. 3 Maja</t>
  </si>
  <si>
    <t>18e</t>
  </si>
  <si>
    <t>55-200</t>
  </si>
  <si>
    <t>713132636</t>
  </si>
  <si>
    <t>ul. ks. Franciszka Kutrowskiego</t>
  </si>
  <si>
    <t>713132711</t>
  </si>
  <si>
    <t>BRANŻOWA SZKOŁA I STOPNIA W JELCZU-LASKOWICACH</t>
  </si>
  <si>
    <t>ul. Techników</t>
  </si>
  <si>
    <t>55-220</t>
  </si>
  <si>
    <t>713188220</t>
  </si>
  <si>
    <t>ul. Główna</t>
  </si>
  <si>
    <t>55-040</t>
  </si>
  <si>
    <t>Kobierzyce</t>
  </si>
  <si>
    <t>713118631</t>
  </si>
  <si>
    <t>BRANŻOWA SZKOŁA I STOPNIA W POWIATOWYM ZESPOLE SZKÓŁ NR 2 W TRZEBNICY</t>
  </si>
  <si>
    <t>ul. Stefana Żeromskiego</t>
  </si>
  <si>
    <t>25</t>
  </si>
  <si>
    <t>55-100</t>
  </si>
  <si>
    <t>713120488</t>
  </si>
  <si>
    <t>SEKRETARIAT@PZS-2.TZREBNICA.PL</t>
  </si>
  <si>
    <t>BRANŻOWA SZKOŁA I STOPNIA W POWIATOWYM ZESPOLE SZKÓŁ W ŻMIGRODZIE</t>
  </si>
  <si>
    <t>ul. Willowa</t>
  </si>
  <si>
    <t>55-140</t>
  </si>
  <si>
    <t>713853666</t>
  </si>
  <si>
    <t>sekretzmigrod@interia.pl</t>
  </si>
  <si>
    <t>ul. Stanisława Staszica</t>
  </si>
  <si>
    <t>59-500</t>
  </si>
  <si>
    <t>768783372</t>
  </si>
  <si>
    <t>sekretariat@soszw.info</t>
  </si>
  <si>
    <t>ul. Kolonialna</t>
  </si>
  <si>
    <t>13</t>
  </si>
  <si>
    <t>59-140</t>
  </si>
  <si>
    <t>768185166</t>
  </si>
  <si>
    <t>BRANŻOWA SZKOŁA I STOPNIA W POWIATOWYM ZESPOLE SZKÓŁ W OBORNIKACH ŚLĄSKICH</t>
  </si>
  <si>
    <t>Oborniki Śląskie</t>
  </si>
  <si>
    <t>ul. Parkowa</t>
  </si>
  <si>
    <t>8</t>
  </si>
  <si>
    <t>55-120</t>
  </si>
  <si>
    <t>713102223</t>
  </si>
  <si>
    <t>pzsoborniki@powiat.trzebnica.pl</t>
  </si>
  <si>
    <t>ul. Skalników</t>
  </si>
  <si>
    <t>59-101</t>
  </si>
  <si>
    <t>767465111</t>
  </si>
  <si>
    <t>BRANŻOWA SZKOŁA I STOPNIA IM. EMILII PLATER</t>
  </si>
  <si>
    <t>ul. Francuska</t>
  </si>
  <si>
    <t>59-900</t>
  </si>
  <si>
    <t>757752393</t>
  </si>
  <si>
    <t>BRANŻOWA SZKOŁA I STOPNIA IM. ŚW. BARBARY</t>
  </si>
  <si>
    <t>ul. Tadeusza Kościuszki</t>
  </si>
  <si>
    <t>33</t>
  </si>
  <si>
    <t>59-920</t>
  </si>
  <si>
    <t>757733374</t>
  </si>
  <si>
    <t>BRANŻOWA SZKOŁA I STOPNIA W ZESPOLE SZKÓŁ IM. TADEUSZA KOŚCIUSZKI W MILICZ</t>
  </si>
  <si>
    <t>Milicz</t>
  </si>
  <si>
    <t>ul. Trzebnicka</t>
  </si>
  <si>
    <t>4</t>
  </si>
  <si>
    <t>56-300</t>
  </si>
  <si>
    <t>713840350</t>
  </si>
  <si>
    <t>sekretariat@zsmilicz.eu</t>
  </si>
  <si>
    <t>BRANŻOWA SZKOŁA I STOPNIA W WOŁOWIE</t>
  </si>
  <si>
    <t>BRANŻOWA SZKOŁA I STOPNIA SPECJALNA NR 3 W OŁAWIE</t>
  </si>
  <si>
    <t>ul. Spacerowa</t>
  </si>
  <si>
    <t>56-100</t>
  </si>
  <si>
    <t>713892824</t>
  </si>
  <si>
    <t>sekretariat@zszwolow.pl</t>
  </si>
  <si>
    <t>ul. Jarosława Iwaszkiewicza</t>
  </si>
  <si>
    <t>9A</t>
  </si>
  <si>
    <t>717345910</t>
  </si>
  <si>
    <t>BRANŻOWA SZKOŁA I STOPNIA NR 2 W WAŁBRZYCHU</t>
  </si>
  <si>
    <t>ul. Ogrodowa</t>
  </si>
  <si>
    <t>2a</t>
  </si>
  <si>
    <t>58-306</t>
  </si>
  <si>
    <t>748467475</t>
  </si>
  <si>
    <t>szkola@zs5.mail.pl</t>
  </si>
  <si>
    <t>BRANŻOWA SZKOŁA I STOPNIA W MIĘDZYBORZU W ZESPOLE SZKÓŁ PONADPODSTAWOWYCH IM. ORŁA BIAŁEGO W MIĘDZYBORZU</t>
  </si>
  <si>
    <t>56-513</t>
  </si>
  <si>
    <t>627856032</t>
  </si>
  <si>
    <t>BRANŻOWA SZKOŁA I STOPNIA W ZESPOLE SZKÓŁ PONADPODSTAWOWYCH IM. HIPOLITA CEGIELSKIEGO W ZIĘBICACH</t>
  </si>
  <si>
    <t>ul. Wojska Polskiego</t>
  </si>
  <si>
    <t>57-220</t>
  </si>
  <si>
    <t>748191522</t>
  </si>
  <si>
    <t>BRANŻOWA SZKOŁA I STOPNIA NR 2</t>
  </si>
  <si>
    <t>BRANŻOWA SZKOŁA I STOPNIA IM. BOHATERÓW WESTERPLATTE W CENTRUM KSZTAŁCENIA ZAWODOWEGO I USTAWICZNEGO W STRZELINIE</t>
  </si>
  <si>
    <t>ul. Szkolna</t>
  </si>
  <si>
    <t>57-300</t>
  </si>
  <si>
    <t>0748672174</t>
  </si>
  <si>
    <t>biuro.ksp@onet.eu</t>
  </si>
  <si>
    <t>57-100</t>
  </si>
  <si>
    <t>713920008</t>
  </si>
  <si>
    <t>BRANŻOWA SZKOŁA I STOPNIA W TWARDOGÓRZE W ZESPOLE SZKÓŁ PONADPODSTAWOWYCH IM. JAROSŁAWA IWASZKIEWICZA W TWARDOGÓRZE</t>
  </si>
  <si>
    <t>56-416</t>
  </si>
  <si>
    <t>713158014</t>
  </si>
  <si>
    <t>BRANŻOWA SZKOŁA I STOPNIA W SYCOWIE W ZESPOLE SZKÓŁ PONADPODSTAWOWYCH W SYCOWIE</t>
  </si>
  <si>
    <t>ul. Ignacego Daszyńskiego</t>
  </si>
  <si>
    <t>42</t>
  </si>
  <si>
    <t>56-500</t>
  </si>
  <si>
    <t>627869340</t>
  </si>
  <si>
    <t>zsp@onet.pl</t>
  </si>
  <si>
    <t>ZESPÓŁ SZKÓŁ IM. GEN. SYLWESTRA KALISKIEGO W GÓRZE BRANŻOWA SZKOŁA I STOPNIA W GÓRZE</t>
  </si>
  <si>
    <t>ul. Armii Polskiej</t>
  </si>
  <si>
    <t>15a</t>
  </si>
  <si>
    <t>56-200</t>
  </si>
  <si>
    <t>655432660</t>
  </si>
  <si>
    <t>sekretariat@zszgoras.pol.pl</t>
  </si>
  <si>
    <t>BRANŻOWA SZKOŁA I STOPNIA SPECJALNA NR 3</t>
  </si>
  <si>
    <t>ul. Warty</t>
  </si>
  <si>
    <t>70</t>
  </si>
  <si>
    <t>0748672732</t>
  </si>
  <si>
    <t>48</t>
  </si>
  <si>
    <t>59-600</t>
  </si>
  <si>
    <t>757824363</t>
  </si>
  <si>
    <t>50</t>
  </si>
  <si>
    <t>768783647</t>
  </si>
  <si>
    <t>BRANŻOWA SZKOŁA I STOPNIA NR 1 W OLEŚNICY W ZESPOLE SZKÓŁ ZAWODOWYCH IM. MARII SKŁODOWSKIEJ-CURIE W OLEŚNICY</t>
  </si>
  <si>
    <t>67/69</t>
  </si>
  <si>
    <t>56-400</t>
  </si>
  <si>
    <t>713143041</t>
  </si>
  <si>
    <t>sekretariat@zsz.olesnica.pl</t>
  </si>
  <si>
    <t>ul. Kolejowa</t>
  </si>
  <si>
    <t>16</t>
  </si>
  <si>
    <t>59-620</t>
  </si>
  <si>
    <t>757813454</t>
  </si>
  <si>
    <t>BRANŻOWA SZKOŁA I STOPNIA NR 5 IM. JANA KILIŃSKIEGO</t>
  </si>
  <si>
    <t>Wrocław-Krzyki</t>
  </si>
  <si>
    <t>ul. Jana Władysława Dawida</t>
  </si>
  <si>
    <t>50-527</t>
  </si>
  <si>
    <t>717986934</t>
  </si>
  <si>
    <t>Sekretariat.zsz5@wroclawskaedukacja.pl</t>
  </si>
  <si>
    <t>ZESPÓŁ SZKÓŁ PUBLICZNYCH IM JANA PAWŁA II BRANŻOWA SZKOŁA I STOPNIA W KUDOWIE ZDROJU</t>
  </si>
  <si>
    <t>ul. Zdrojowa</t>
  </si>
  <si>
    <t>22a</t>
  </si>
  <si>
    <t>57-350</t>
  </si>
  <si>
    <t>0748661107</t>
  </si>
  <si>
    <t>BRANŻOWA SZKOŁA I STOPNIA IM. PROF. SYLWESTRA KALISKIEGO W BYSTRZYCY KŁODZKIEJ</t>
  </si>
  <si>
    <t>ul. Juliusza Słowackiego</t>
  </si>
  <si>
    <t>57-500</t>
  </si>
  <si>
    <t>0748111546</t>
  </si>
  <si>
    <t>zspbystrzycakl@neostrada.pl</t>
  </si>
  <si>
    <t>BRANŻOWA SZKOŁA I STOPNIA IM. STANISŁAWA STASZICA W NOWEJ RUDZIE</t>
  </si>
  <si>
    <t>ul. Stara Droga</t>
  </si>
  <si>
    <t>57-401</t>
  </si>
  <si>
    <t>0748722242</t>
  </si>
  <si>
    <t>BRANŻOWA SZKOŁA SPECJALNA I STOPNIA NR 2 W POWIATOWYM ZESPOLE SPECJALNYCH PLACÓWEK SZKOLNO-WYCHOWAWCZYCH W TRZEBNICY</t>
  </si>
  <si>
    <t>ul. Nowa</t>
  </si>
  <si>
    <t>713120740</t>
  </si>
  <si>
    <t>SPECJALNY OŚRODEK SZKOLNO-WYCHOWAWCZY IM. JANUSZA KORCZAKA W WĄSOSZU BRANŻOWA SZKOŁA I STOPNIA SPECJALNA W WĄSOSZU</t>
  </si>
  <si>
    <t>Wąsosz</t>
  </si>
  <si>
    <t>ul. Korczaka</t>
  </si>
  <si>
    <t>56-210</t>
  </si>
  <si>
    <t>655437925</t>
  </si>
  <si>
    <t>soswwasosz@op.pl</t>
  </si>
  <si>
    <t>ul. Leśna Góra</t>
  </si>
  <si>
    <t>59-170</t>
  </si>
  <si>
    <t>768320666</t>
  </si>
  <si>
    <t>BRANŻOWA SZKOŁA I STOPNIA NR 1 W LUBINIE</t>
  </si>
  <si>
    <t>9</t>
  </si>
  <si>
    <t>59-300</t>
  </si>
  <si>
    <t>767463050</t>
  </si>
  <si>
    <t>BRANŻOWA SZKOŁA I STOPNIA W LUBOMIERZU</t>
  </si>
  <si>
    <t>ul. Fryderyka Chopina</t>
  </si>
  <si>
    <t>59-623</t>
  </si>
  <si>
    <t>757833634</t>
  </si>
  <si>
    <t>BRANŻOWA SZKOŁA I STOPNIA W ZESPOLE SZKÓŁ LICEALNYCH I ZAWODOWYCH NR 2 IM. STANISŁAWA STASZICA W JELENIEJ GÓRZE</t>
  </si>
  <si>
    <t>39/41</t>
  </si>
  <si>
    <t>58-500</t>
  </si>
  <si>
    <t>756423900</t>
  </si>
  <si>
    <t>BRANŻOWA SZKOŁA I STOPNIA W ZESPOLE SZKÓŁ TECHNICZNYCH "MECHANIK" W JELENIEJ GÓRZE</t>
  </si>
  <si>
    <t>ul. Obrońców Pokoju</t>
  </si>
  <si>
    <t>757522256</t>
  </si>
  <si>
    <t>BRANŻOWA SZKOŁA I STOPNIA W KOWARACH</t>
  </si>
  <si>
    <t>58-530</t>
  </si>
  <si>
    <t>757182111</t>
  </si>
  <si>
    <t>BRANŻOWA SZKOŁA I STOPNIA "ELEKTROENERGETYK"</t>
  </si>
  <si>
    <t>Wrocław-Śródmieście</t>
  </si>
  <si>
    <t>ul. Henryka Sienkiewicza</t>
  </si>
  <si>
    <t>6A</t>
  </si>
  <si>
    <t>Powiatowy Zespół Szkół w Obornikach Śląskich</t>
  </si>
  <si>
    <t>ul. Parkowa 8</t>
  </si>
  <si>
    <t>Rafał Szkwerko</t>
  </si>
  <si>
    <t>kancelaria@zspemilka.pl</t>
  </si>
  <si>
    <t>Branżowa Szkoła I Stopnia z PZS Oborniki Śląskie</t>
  </si>
  <si>
    <t>Zespół Szkół im. Tadeuisza Kościuszki w Miliczu</t>
  </si>
  <si>
    <t>Branżowa Szkołą I Stopnia w Zespole Szkół im. Tadeusza Kościuszki w Miliczu</t>
  </si>
  <si>
    <t>ul. Trzebnicka 4</t>
  </si>
  <si>
    <t>Ryszard Lech</t>
  </si>
  <si>
    <t xml:space="preserve">biuro.ksp@onet.eu </t>
  </si>
  <si>
    <t xml:space="preserve">  dyrektor.ksp@onet.eu</t>
  </si>
  <si>
    <t>zs31sekretariat@gmail.com</t>
  </si>
  <si>
    <t xml:space="preserve">zszio@kamienna-gora.pl </t>
  </si>
  <si>
    <t>zszio-kg@o2.pl</t>
  </si>
  <si>
    <t>liceum@zsp-kudowa.pl</t>
  </si>
  <si>
    <t>sekretariat@zstio.glogow.pl</t>
  </si>
  <si>
    <t>sylwia.ciszek@zso-kowary.pl</t>
  </si>
  <si>
    <t xml:space="preserve">szkolalzn@poczta.fm </t>
  </si>
  <si>
    <t xml:space="preserve"> dyrektorlzn@gmail.com </t>
  </si>
  <si>
    <t xml:space="preserve">mfrydel.zsg@gmail.com   </t>
  </si>
  <si>
    <t>sekretariat.zsg@wroclawskaedukacja.pl</t>
  </si>
  <si>
    <t xml:space="preserve">biuro@ecks.pl </t>
  </si>
  <si>
    <t>11.01.2021-05.02.2021</t>
  </si>
  <si>
    <t>26.10.2021-20.11.2020</t>
  </si>
  <si>
    <t>22.02.2021-19.03.2021</t>
  </si>
  <si>
    <t>14.09.2020-09.10.2020
16.11.2020-11.12.2020</t>
  </si>
  <si>
    <t>12.10.2020-06.11.2020
01.02.2021-26.02.2021</t>
  </si>
  <si>
    <t>14.09.2020-09.10.2020
10.05.2021_04.06.2021</t>
  </si>
  <si>
    <t>29.03.2021-30.04.2021</t>
  </si>
  <si>
    <t>12.04.2021-07.05.2021
10.05.2021-04.06.2021
01.02.2021-26.02.2021</t>
  </si>
  <si>
    <t>01.03.2021-26.03.2021
02.11.2020-27.11.2020
30.11.2020-22.12.2020</t>
  </si>
  <si>
    <t>Głogowskie Centrum Kształcenia Zawodowego w Głogowie</t>
  </si>
  <si>
    <t>01.02.2021-26.02.2021
10.05.2021-04.06.2021</t>
  </si>
  <si>
    <t>01.02.2021-26.02.2021
30.11.2020-22.12.2021</t>
  </si>
  <si>
    <t>02.10.2020-30.10.2020</t>
  </si>
  <si>
    <t>19.10.2020-16.11.2020</t>
  </si>
  <si>
    <t>07.04.2021-30.04.2021</t>
  </si>
  <si>
    <t>G_04.05.2021-28.05.2021
SP_ 01.06.2021-25.06.2021</t>
  </si>
  <si>
    <t>G_23.11.2020-18.12.2020
SP_26.10.2020-20.11.2020</t>
  </si>
  <si>
    <t>G_23.11.2020-18.12.2020
SP_04.05.2021-28.05.2021</t>
  </si>
  <si>
    <t>G_02.11.2020-27.11.2020
SP_28.09.2020-23.10.2020</t>
  </si>
  <si>
    <t>G_23.11.2020-18.12.2020</t>
  </si>
  <si>
    <t>G_23.11.2020-18.12.2020 
SP_26.10.2020-20.11.2020</t>
  </si>
  <si>
    <t>G_02.11.2020-27.11.2020 
SP_28.09.2020-23.10.2020</t>
  </si>
  <si>
    <t>G_23.11.2020-18.12.2020 
SP_04.05.2021-28.05.2021</t>
  </si>
  <si>
    <t>G_23.11.2020-18.12.2020
SP_ 26.10.2020-20.11.2020</t>
  </si>
  <si>
    <t>28.09.2020-23.10.2020 SP</t>
  </si>
  <si>
    <t>G_04.05.2021-28.05.2021</t>
  </si>
  <si>
    <t>SP_04.05.2021-28.05.2021</t>
  </si>
  <si>
    <t>G_02.11.2020-27.11.2020
SP_ 28.09.2020-23.10.2020</t>
  </si>
  <si>
    <t>04.05.2021 - 28.05.2021</t>
  </si>
  <si>
    <t xml:space="preserve">02.11.2020 - 27.11.2020 </t>
  </si>
  <si>
    <t xml:space="preserve">SP_19.04.2021 - 16.05.2021 </t>
  </si>
  <si>
    <t xml:space="preserve"> 04.05.2021-28.05.2021 
SP_01.06.2021-25.06.2021</t>
  </si>
  <si>
    <t>28.09.2020 - 23.10.2020</t>
  </si>
  <si>
    <t>07.04.2021 - 30.04.2021</t>
  </si>
  <si>
    <t>05.10.2020 - 30.10.2020</t>
  </si>
  <si>
    <t>10.05.2021 - 04.06.2021</t>
  </si>
  <si>
    <t>06.04.2021 - 30.04.2021</t>
  </si>
  <si>
    <t>30.112020-22.12.2020</t>
  </si>
  <si>
    <t>12.04.2021-07.05.2021
10.05.2021-04.06.2021</t>
  </si>
  <si>
    <t>30.11.2020-22.12.2020
01.02.2021-26.02.2021</t>
  </si>
  <si>
    <t>01.02.2021-26..02.2021</t>
  </si>
  <si>
    <t>30.11.2020-22.12.2020</t>
  </si>
  <si>
    <t>01.02.2021-26.02.2021
12.04.2021-07.05.2021</t>
  </si>
  <si>
    <t>01.02.2021-26.02.2021
30.11.2020-22.12.2020</t>
  </si>
  <si>
    <t>05.10.2020-30.10.2020
07.09.2020-02.10.2020</t>
  </si>
  <si>
    <t>07.09.2020-02.10.2020
30.11.2020-22.12.2020
01.02.2021-26.02.2021
01.03.2021-26.03.2021</t>
  </si>
  <si>
    <t>07.09.2020-02.10.2020
05.10.2020-30.10.2020
02.11.2020-27.11.2020
30.11.2020-22.12.2020
01.02.2021-26.02.2021</t>
  </si>
  <si>
    <t>05.10.2020-30.10.2020
02.11.2020-27.11.2020
07.09.2020-02.10.2020</t>
  </si>
  <si>
    <t>559.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</si>
  <si>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</si>
  <si>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</si>
  <si>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</si>
  <si>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</si>
  <si>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</si>
  <si>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</si>
  <si>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</si>
  <si>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</si>
  <si>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</si>
  <si>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</si>
  <si>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</si>
  <si>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</si>
  <si>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</si>
  <si>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</si>
  <si>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</si>
  <si>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</si>
  <si>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</si>
  <si>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</si>
  <si>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konsultacje</t>
  </si>
  <si>
    <t>Branżowa Szkoła I Stopnia Cechu Rzemiosł Różnych i Małej Przedsiębiorczości w Ząbkowicach Śląskich</t>
  </si>
  <si>
    <t>Branżowa Szkoła I Stopnia w Zespole Szkół Zawodowych Specjalnych w Wałbrzychu</t>
  </si>
  <si>
    <t>Branżowa Szkoła I Stopnia Elektroenergetyk Wrocław</t>
  </si>
  <si>
    <t>BSI Dobrzeń Wielki</t>
  </si>
  <si>
    <t>BSI Paczków</t>
  </si>
  <si>
    <t>BSI Nr 5 Opole</t>
  </si>
  <si>
    <t>BSI Nr 1 Namysłów</t>
  </si>
  <si>
    <t>BSI Nr 3 Nysa</t>
  </si>
  <si>
    <t>BSI Nr 1 Grodków</t>
  </si>
  <si>
    <t>BSI Olesno</t>
  </si>
  <si>
    <t>BSI Nr 1 Prudnik</t>
  </si>
  <si>
    <t>Prudnik</t>
  </si>
  <si>
    <t>Dobrzeń Wielki</t>
  </si>
  <si>
    <t>Namysłów</t>
  </si>
  <si>
    <t>Nysa</t>
  </si>
  <si>
    <t>Grodków</t>
  </si>
  <si>
    <t>Olesno</t>
  </si>
  <si>
    <t>01.10.2020-29.10.2020</t>
  </si>
  <si>
    <t xml:space="preserve">sprzedawca </t>
  </si>
  <si>
    <t>Europejska Szkoła Branżowa I Stopnia we Wrocławiu</t>
  </si>
  <si>
    <t>BSI Otmuchów</t>
  </si>
  <si>
    <t>583.</t>
  </si>
  <si>
    <t>584.</t>
  </si>
  <si>
    <t>Branżowa szkoła I Stopnia w Jelczu-Laskowicach w Zespole Szkół im. Jana Kasprowicza w Jeczu Laskowicach</t>
  </si>
  <si>
    <t>04.05.2021-31.05.2021</t>
  </si>
  <si>
    <t>W ramach konsultacji Branżowa Szkoła im. KEN w Brzegu Dolnym</t>
  </si>
  <si>
    <t>02.11.2020-27.11.2020
30.11.2020-22.12.2020
01.03.2021-26.03.2021
10.05.2021-04.06.2021</t>
  </si>
  <si>
    <t>07.09.2020-02.10.2020
02.11.2020-27.11.2020
30.11.2020-22.12.2020</t>
  </si>
  <si>
    <t>02.11.2020-27.11.2020
30.11.2020-22.12.2020</t>
  </si>
  <si>
    <t>01.02.2021-26.02.2021
01.03.2021-26.03.2021</t>
  </si>
  <si>
    <t>01-03-2021-26-03-2021</t>
  </si>
  <si>
    <t>01.02.2021-26.02.2021
01.03.2021-26.03.202</t>
  </si>
  <si>
    <t>17.05.2021-13.06.2021</t>
  </si>
  <si>
    <t>08.03.2021-09.04.2021</t>
  </si>
  <si>
    <t>04.01.2021– 31.01.2021</t>
  </si>
  <si>
    <t>Centrum Kształcenia Zawodowego w Głubczycach</t>
  </si>
  <si>
    <t>OŚRODEK</t>
  </si>
  <si>
    <t>585.</t>
  </si>
  <si>
    <t>Branżowa szkoła I Stopnia w Zespole Szkół im. gen. Sylwestra Kaliskiego w Górze</t>
  </si>
  <si>
    <t>Branżowa Szkoła I Stopnia Nr 1 w Centrum Kształcenia Zawodowego i Ustawicznego w Oławie</t>
  </si>
  <si>
    <t>19.04.2021=16.05.2021</t>
  </si>
  <si>
    <t>23.11.2020-13.12.2020</t>
  </si>
  <si>
    <t>01.12.2020-08.01.2021</t>
  </si>
  <si>
    <t>22.03.2021-23.04.2021</t>
  </si>
  <si>
    <t>PZSPSzW Trzebnica</t>
  </si>
  <si>
    <t>Caritas Dobroszyce</t>
  </si>
  <si>
    <t>Dobroszyce</t>
  </si>
  <si>
    <t>szukany ośrdoek</t>
  </si>
  <si>
    <t>22.03.2021--23.04.2021</t>
  </si>
  <si>
    <t>Odolanów</t>
  </si>
  <si>
    <t>ZSM Namysłow</t>
  </si>
  <si>
    <t>Branżowa Szkołą I Stopnia w Odlanowie</t>
  </si>
  <si>
    <t>Zespół Szkół Mechanicznych w Namysłowie</t>
  </si>
  <si>
    <t>Branżowa Szkoła I Stopnia w Odolanowie</t>
  </si>
  <si>
    <t>09.11.2020-04.12.2020</t>
  </si>
  <si>
    <t>09.11.2020-07.12.2020</t>
  </si>
  <si>
    <t>kwiecień/maj2021</t>
  </si>
  <si>
    <t>Powiatowy Zespół Szkół w Żmigrodzie im. Jana Pawła II</t>
  </si>
  <si>
    <t>12.04.2021-7.05.2021</t>
  </si>
  <si>
    <t>10.05.2021-04.06.2022</t>
  </si>
  <si>
    <t>Specjalny Ośrodek Szkolno-Wychowawczy w Wąsoszu</t>
  </si>
  <si>
    <t>16.11.2020-11.12.2020 01.03.2021-26.03.2021</t>
  </si>
  <si>
    <t>16.11.2020-11.12.2020  01.03.2021-26.03.2021</t>
  </si>
  <si>
    <t>012.03.2021-26.03.2021</t>
  </si>
  <si>
    <t>G_04.05.2021-28.05.2021
P_01.06.2021-25.06.2021</t>
  </si>
  <si>
    <t>29.03.2021-23.04.2021</t>
  </si>
  <si>
    <t>26.04.2021-21.05.2021</t>
  </si>
  <si>
    <r>
      <rPr>
        <b/>
        <sz val="12"/>
        <rFont val="Calibri"/>
        <family val="2"/>
        <charset val="238"/>
        <scheme val="minor"/>
      </rPr>
      <t>ROK SZKOLNY</t>
    </r>
    <r>
      <rPr>
        <b/>
        <sz val="18"/>
        <rFont val="Calibri"/>
        <family val="2"/>
        <charset val="238"/>
        <scheme val="minor"/>
      </rPr>
      <t xml:space="preserve"> 2020/2021</t>
    </r>
  </si>
  <si>
    <t>586.</t>
  </si>
  <si>
    <t>587.</t>
  </si>
  <si>
    <t>588.</t>
  </si>
  <si>
    <t>CKZ Zielona Góra jeżeli online</t>
  </si>
  <si>
    <t>blacharz</t>
  </si>
  <si>
    <t>589.</t>
  </si>
  <si>
    <t>590.</t>
  </si>
  <si>
    <t>591.</t>
  </si>
  <si>
    <t>592.</t>
  </si>
  <si>
    <t>593.</t>
  </si>
  <si>
    <t>Centrum Kształcenia Zawodowego i Ustawicznego we Wschowie</t>
  </si>
  <si>
    <t>Centrum Kształcenia Zawodowego w Zespole Szkół i Placówek Kształcenia Zawodowego w Zielonej Górze</t>
  </si>
  <si>
    <t>18.01.2021-12.02.2021</t>
  </si>
  <si>
    <t>17.11.2020-11.12.2020</t>
  </si>
  <si>
    <t>17.05.2021-11.06.2021</t>
  </si>
  <si>
    <t>15.03.2021-1.04.2021</t>
  </si>
  <si>
    <t>Zespół Szkół Budowlanych w Brzegu</t>
  </si>
  <si>
    <t>Brzeg</t>
  </si>
  <si>
    <t>26.10.2020-20.11.2020
18.01.2021-12.02.2021</t>
  </si>
  <si>
    <t>594.</t>
  </si>
  <si>
    <t>595.</t>
  </si>
  <si>
    <t>596.</t>
  </si>
  <si>
    <t>Branżowa Szkoła I Stopnia w Zespole Szkół Specjalnych w Wałbrzychu</t>
  </si>
  <si>
    <t>CKZiU Wschowa_ Kościan_Rawicz</t>
  </si>
  <si>
    <t>ZST Nysa</t>
  </si>
  <si>
    <t>CKZiU Strzelce Opolskie</t>
  </si>
  <si>
    <t>Strzelce Opolskie</t>
  </si>
  <si>
    <t>ZS Nr 2 Kluczbork</t>
  </si>
  <si>
    <t>KZiU Prudnik</t>
  </si>
  <si>
    <t>ZS Ozimek</t>
  </si>
  <si>
    <t>Ozimek</t>
  </si>
  <si>
    <t>27.11.20220-23.12.2020</t>
  </si>
  <si>
    <t>25.11.2020-19.02.2021</t>
  </si>
  <si>
    <t>25.01.2021-19.02.2021</t>
  </si>
  <si>
    <t>25.01.2021-19.02.2021
22.02.2021-19.03.2021</t>
  </si>
  <si>
    <t>27.11.2020-23.12.2020
25.01.2021-19.02.2021</t>
  </si>
  <si>
    <t>27.11.2020-23.12.2020
22.02.2021-19.03.2021</t>
  </si>
  <si>
    <r>
      <rPr>
        <b/>
        <sz val="12"/>
        <color rgb="FFC00000"/>
        <rFont val="Calibri"/>
        <family val="2"/>
        <charset val="238"/>
        <scheme val="minor"/>
      </rPr>
      <t>ROK SZKOLNY</t>
    </r>
    <r>
      <rPr>
        <b/>
        <sz val="18"/>
        <color rgb="FFC00000"/>
        <rFont val="Calibri"/>
        <family val="2"/>
        <charset val="238"/>
        <scheme val="minor"/>
      </rPr>
      <t xml:space="preserve">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</si>
</sst>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rgb="FF333333"/>
      <name val="Verdana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20212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0" fontId="23" fillId="0" borderId="0" applyNumberFormat="0" applyFill="0" applyBorder="0" applyAlignment="0" applyProtection="0"/>
  </cellStyleXfs>
  <cellXfs count="44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8" xfId="0" applyFont="1" applyBorder="1"/>
    <xf numFmtId="0" fontId="11" fillId="0" borderId="0" xfId="0" applyFont="1"/>
    <xf numFmtId="0" fontId="0" fillId="7" borderId="8" xfId="0" applyFill="1" applyBorder="1"/>
    <xf numFmtId="0" fontId="0" fillId="3" borderId="8" xfId="0" applyFill="1" applyBorder="1"/>
    <xf numFmtId="0" fontId="7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0" fillId="8" borderId="8" xfId="0" applyFill="1" applyBorder="1"/>
    <xf numFmtId="0" fontId="3" fillId="5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1" fillId="0" borderId="8" xfId="0" applyFont="1" applyFill="1" applyBorder="1"/>
    <xf numFmtId="0" fontId="0" fillId="9" borderId="8" xfId="0" applyFill="1" applyBorder="1"/>
    <xf numFmtId="0" fontId="11" fillId="0" borderId="2" xfId="0" applyFont="1" applyBorder="1"/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 applyAlignment="1"/>
    <xf numFmtId="0" fontId="0" fillId="5" borderId="8" xfId="0" applyFont="1" applyFill="1" applyBorder="1" applyAlignment="1"/>
    <xf numFmtId="0" fontId="0" fillId="0" borderId="8" xfId="0" applyFont="1" applyFill="1" applyBorder="1" applyAlignment="1"/>
    <xf numFmtId="0" fontId="7" fillId="0" borderId="8" xfId="0" applyFont="1" applyFill="1" applyBorder="1" applyAlignment="1">
      <alignment horizontal="center" wrapText="1"/>
    </xf>
    <xf numFmtId="0" fontId="7" fillId="0" borderId="8" xfId="0" applyFont="1" applyBorder="1" applyAlignment="1"/>
    <xf numFmtId="0" fontId="7" fillId="5" borderId="8" xfId="0" applyFont="1" applyFill="1" applyBorder="1" applyAlignment="1"/>
    <xf numFmtId="0" fontId="0" fillId="6" borderId="8" xfId="0" applyFont="1" applyFill="1" applyBorder="1" applyAlignment="1"/>
    <xf numFmtId="0" fontId="0" fillId="4" borderId="8" xfId="0" applyFont="1" applyFill="1" applyBorder="1" applyAlignment="1"/>
    <xf numFmtId="0" fontId="0" fillId="3" borderId="8" xfId="0" applyFont="1" applyFill="1" applyBorder="1" applyAlignment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10" borderId="8" xfId="0" applyFill="1" applyBorder="1"/>
    <xf numFmtId="0" fontId="0" fillId="11" borderId="8" xfId="0" applyFill="1" applyBorder="1"/>
    <xf numFmtId="0" fontId="0" fillId="0" borderId="8" xfId="0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5" fillId="12" borderId="8" xfId="0" applyFont="1" applyFill="1" applyBorder="1" applyAlignment="1">
      <alignment horizontal="left" vertical="center" wrapText="1" indent="8"/>
    </xf>
    <xf numFmtId="0" fontId="15" fillId="12" borderId="8" xfId="0" applyFont="1" applyFill="1" applyBorder="1" applyAlignment="1">
      <alignment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18" fillId="13" borderId="16" xfId="0" applyFont="1" applyFill="1" applyBorder="1" applyAlignment="1">
      <alignment horizontal="center" vertical="center" textRotation="90"/>
    </xf>
    <xf numFmtId="0" fontId="15" fillId="12" borderId="13" xfId="0" applyFont="1" applyFill="1" applyBorder="1" applyAlignment="1">
      <alignment horizontal="center" vertical="center" wrapText="1"/>
    </xf>
    <xf numFmtId="0" fontId="16" fillId="0" borderId="17" xfId="0" applyFont="1" applyBorder="1"/>
    <xf numFmtId="0" fontId="16" fillId="0" borderId="3" xfId="0" applyFont="1" applyBorder="1"/>
    <xf numFmtId="0" fontId="0" fillId="0" borderId="3" xfId="0" applyFont="1" applyBorder="1"/>
    <xf numFmtId="0" fontId="0" fillId="3" borderId="0" xfId="0" applyFill="1" applyAlignment="1">
      <alignment vertical="center"/>
    </xf>
    <xf numFmtId="22" fontId="0" fillId="0" borderId="0" xfId="0" applyNumberFormat="1" applyAlignment="1">
      <alignment horizontal="left" vertical="center"/>
    </xf>
    <xf numFmtId="22" fontId="0" fillId="0" borderId="0" xfId="0" applyNumberFormat="1" applyFont="1" applyAlignment="1">
      <alignment horizontal="left"/>
    </xf>
    <xf numFmtId="0" fontId="0" fillId="0" borderId="0" xfId="0" applyFont="1" applyProtection="1">
      <protection locked="0"/>
    </xf>
    <xf numFmtId="22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5" fillId="12" borderId="8" xfId="0" applyFont="1" applyFill="1" applyBorder="1" applyAlignment="1" applyProtection="1">
      <alignment horizontal="center" vertical="center" wrapText="1"/>
    </xf>
    <xf numFmtId="0" fontId="15" fillId="12" borderId="8" xfId="0" applyFont="1" applyFill="1" applyBorder="1" applyAlignment="1" applyProtection="1">
      <alignment horizontal="left" vertical="center" wrapText="1" indent="8"/>
    </xf>
    <xf numFmtId="0" fontId="15" fillId="12" borderId="13" xfId="0" applyFont="1" applyFill="1" applyBorder="1" applyAlignment="1" applyProtection="1">
      <alignment horizontal="center" vertical="center" wrapText="1"/>
    </xf>
    <xf numFmtId="0" fontId="15" fillId="12" borderId="8" xfId="0" applyFont="1" applyFill="1" applyBorder="1" applyAlignment="1" applyProtection="1">
      <alignment vertical="center" wrapText="1"/>
    </xf>
    <xf numFmtId="0" fontId="15" fillId="12" borderId="15" xfId="0" applyFont="1" applyFill="1" applyBorder="1" applyAlignment="1" applyProtection="1">
      <alignment vertical="center" wrapText="1"/>
    </xf>
    <xf numFmtId="0" fontId="16" fillId="0" borderId="17" xfId="0" applyFont="1" applyBorder="1" applyProtection="1"/>
    <xf numFmtId="0" fontId="16" fillId="0" borderId="3" xfId="0" applyFont="1" applyBorder="1" applyProtection="1"/>
    <xf numFmtId="0" fontId="0" fillId="0" borderId="3" xfId="0" applyFont="1" applyBorder="1" applyProtection="1"/>
    <xf numFmtId="0" fontId="16" fillId="12" borderId="8" xfId="0" applyFont="1" applyFill="1" applyBorder="1" applyAlignment="1" applyProtection="1">
      <alignment horizontal="center" vertical="center" wrapText="1"/>
    </xf>
    <xf numFmtId="0" fontId="4" fillId="12" borderId="15" xfId="0" applyFont="1" applyFill="1" applyBorder="1" applyAlignment="1" applyProtection="1">
      <alignment horizontal="center" vertical="center" wrapText="1"/>
    </xf>
    <xf numFmtId="0" fontId="18" fillId="13" borderId="16" xfId="0" applyFont="1" applyFill="1" applyBorder="1" applyAlignment="1" applyProtection="1">
      <alignment horizontal="center" vertical="center" textRotation="90"/>
    </xf>
    <xf numFmtId="0" fontId="12" fillId="0" borderId="8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12" fillId="0" borderId="8" xfId="0" applyFont="1" applyBorder="1" applyAlignment="1" applyProtection="1">
      <alignment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vertical="center" wrapText="1"/>
      <protection hidden="1"/>
    </xf>
    <xf numFmtId="0" fontId="0" fillId="7" borderId="2" xfId="0" applyFill="1" applyBorder="1"/>
    <xf numFmtId="0" fontId="0" fillId="0" borderId="0" xfId="0" applyFont="1" applyBorder="1"/>
    <xf numFmtId="0" fontId="0" fillId="0" borderId="0" xfId="0" applyFont="1" applyBorder="1" applyProtection="1"/>
    <xf numFmtId="0" fontId="0" fillId="14" borderId="8" xfId="0" applyFill="1" applyBorder="1"/>
    <xf numFmtId="0" fontId="0" fillId="0" borderId="8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7" fillId="0" borderId="8" xfId="0" applyFont="1" applyFill="1" applyBorder="1"/>
    <xf numFmtId="0" fontId="17" fillId="0" borderId="10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8" fillId="13" borderId="8" xfId="0" applyFont="1" applyFill="1" applyBorder="1" applyAlignment="1">
      <alignment horizontal="center" vertical="center" textRotation="90"/>
    </xf>
    <xf numFmtId="0" fontId="17" fillId="0" borderId="10" xfId="0" applyFont="1" applyBorder="1" applyAlignment="1" applyProtection="1">
      <alignment horizontal="center" vertical="center" textRotation="90"/>
    </xf>
    <xf numFmtId="0" fontId="17" fillId="0" borderId="8" xfId="0" applyFont="1" applyBorder="1" applyAlignment="1" applyProtection="1">
      <alignment horizontal="center" vertical="center" textRotation="90"/>
    </xf>
    <xf numFmtId="0" fontId="18" fillId="13" borderId="8" xfId="0" applyFont="1" applyFill="1" applyBorder="1" applyAlignment="1" applyProtection="1">
      <alignment horizontal="center" vertical="center" textRotation="90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" fontId="21" fillId="0" borderId="6" xfId="1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/>
    </xf>
    <xf numFmtId="0" fontId="21" fillId="0" borderId="7" xfId="1" applyFont="1" applyFill="1" applyBorder="1"/>
    <xf numFmtId="0" fontId="21" fillId="0" borderId="6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17" fontId="21" fillId="0" borderId="6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7" fillId="0" borderId="14" xfId="0" applyFont="1" applyFill="1" applyBorder="1"/>
    <xf numFmtId="17" fontId="7" fillId="0" borderId="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" fontId="21" fillId="0" borderId="1" xfId="0" applyNumberFormat="1" applyFont="1" applyFill="1" applyBorder="1" applyAlignment="1">
      <alignment horizontal="center" vertical="center" wrapText="1"/>
    </xf>
    <xf numFmtId="0" fontId="21" fillId="0" borderId="9" xfId="1" applyFont="1" applyFill="1" applyBorder="1"/>
    <xf numFmtId="0" fontId="7" fillId="0" borderId="3" xfId="0" applyFont="1" applyFill="1" applyBorder="1"/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0" fontId="23" fillId="0" borderId="0" xfId="2"/>
    <xf numFmtId="0" fontId="0" fillId="3" borderId="0" xfId="0" applyFill="1"/>
    <xf numFmtId="0" fontId="7" fillId="0" borderId="13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17" fontId="11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1" fillId="0" borderId="13" xfId="0" applyFont="1" applyFill="1" applyBorder="1"/>
    <xf numFmtId="0" fontId="11" fillId="0" borderId="2" xfId="0" applyFont="1" applyFill="1" applyBorder="1"/>
    <xf numFmtId="0" fontId="7" fillId="3" borderId="8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17" fontId="21" fillId="0" borderId="8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3" xfId="0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/>
    <xf numFmtId="0" fontId="11" fillId="0" borderId="0" xfId="0" applyFont="1" applyFill="1"/>
    <xf numFmtId="0" fontId="0" fillId="0" borderId="8" xfId="0" applyFill="1" applyBorder="1" applyAlignment="1">
      <alignment vertical="center"/>
    </xf>
    <xf numFmtId="0" fontId="15" fillId="12" borderId="8" xfId="0" applyFont="1" applyFill="1" applyBorder="1" applyAlignment="1">
      <alignment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17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0" fillId="0" borderId="16" xfId="0" applyFont="1" applyFill="1" applyBorder="1"/>
    <xf numFmtId="0" fontId="25" fillId="0" borderId="8" xfId="0" applyFont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/>
    </xf>
    <xf numFmtId="0" fontId="7" fillId="16" borderId="8" xfId="0" applyFont="1" applyFill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0" fontId="7" fillId="16" borderId="8" xfId="0" applyFont="1" applyFill="1" applyBorder="1"/>
    <xf numFmtId="0" fontId="0" fillId="0" borderId="8" xfId="0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30" fillId="0" borderId="6" xfId="0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/>
    <xf numFmtId="0" fontId="31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32" fillId="0" borderId="8" xfId="0" applyFont="1" applyFill="1" applyBorder="1"/>
    <xf numFmtId="0" fontId="32" fillId="0" borderId="8" xfId="0" applyFont="1" applyFill="1" applyBorder="1" applyAlignment="1">
      <alignment horizontal="center" vertical="center"/>
    </xf>
    <xf numFmtId="0" fontId="32" fillId="0" borderId="13" xfId="0" applyFont="1" applyFill="1" applyBorder="1"/>
    <xf numFmtId="0" fontId="27" fillId="0" borderId="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3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9" fillId="0" borderId="8" xfId="0" applyFont="1" applyFill="1" applyBorder="1"/>
    <xf numFmtId="0" fontId="0" fillId="0" borderId="8" xfId="0" applyFont="1" applyFill="1" applyBorder="1"/>
    <xf numFmtId="0" fontId="25" fillId="0" borderId="8" xfId="0" applyFont="1" applyFill="1" applyBorder="1" applyAlignment="1">
      <alignment vertical="top" wrapText="1"/>
    </xf>
    <xf numFmtId="0" fontId="16" fillId="18" borderId="8" xfId="0" applyFont="1" applyFill="1" applyBorder="1"/>
    <xf numFmtId="0" fontId="12" fillId="0" borderId="8" xfId="0" applyFont="1" applyBorder="1"/>
    <xf numFmtId="0" fontId="16" fillId="0" borderId="8" xfId="0" applyFont="1" applyBorder="1"/>
    <xf numFmtId="0" fontId="35" fillId="19" borderId="8" xfId="0" applyFont="1" applyFill="1" applyBorder="1"/>
    <xf numFmtId="0" fontId="35" fillId="0" borderId="8" xfId="0" applyFont="1" applyBorder="1"/>
    <xf numFmtId="0" fontId="15" fillId="19" borderId="8" xfId="0" applyFont="1" applyFill="1" applyBorder="1"/>
    <xf numFmtId="0" fontId="12" fillId="20" borderId="8" xfId="0" applyFont="1" applyFill="1" applyBorder="1"/>
    <xf numFmtId="0" fontId="16" fillId="19" borderId="8" xfId="0" applyFont="1" applyFill="1" applyBorder="1"/>
    <xf numFmtId="0" fontId="15" fillId="0" borderId="8" xfId="0" applyFont="1" applyFill="1" applyBorder="1"/>
    <xf numFmtId="0" fontId="36" fillId="5" borderId="0" xfId="0" applyFont="1" applyFill="1"/>
    <xf numFmtId="0" fontId="36" fillId="21" borderId="19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19" xfId="0" applyFont="1" applyFill="1" applyBorder="1" applyAlignment="1">
      <alignment horizontal="center" vertical="center" wrapText="1"/>
    </xf>
    <xf numFmtId="0" fontId="37" fillId="0" borderId="19" xfId="0" applyFont="1" applyBorder="1"/>
    <xf numFmtId="0" fontId="37" fillId="0" borderId="19" xfId="0" applyFont="1" applyFill="1" applyBorder="1" applyAlignment="1">
      <alignment horizontal="center" vertical="center"/>
    </xf>
    <xf numFmtId="0" fontId="0" fillId="0" borderId="19" xfId="0" applyFont="1" applyBorder="1"/>
    <xf numFmtId="0" fontId="38" fillId="0" borderId="19" xfId="0" applyFont="1" applyBorder="1"/>
    <xf numFmtId="0" fontId="38" fillId="0" borderId="19" xfId="0" applyFont="1" applyFill="1" applyBorder="1"/>
    <xf numFmtId="0" fontId="16" fillId="3" borderId="8" xfId="0" applyFont="1" applyFill="1" applyBorder="1"/>
    <xf numFmtId="0" fontId="23" fillId="0" borderId="8" xfId="2" applyBorder="1"/>
    <xf numFmtId="0" fontId="12" fillId="20" borderId="2" xfId="0" applyFont="1" applyFill="1" applyBorder="1"/>
    <xf numFmtId="0" fontId="16" fillId="0" borderId="2" xfId="0" applyFont="1" applyBorder="1"/>
    <xf numFmtId="0" fontId="16" fillId="3" borderId="2" xfId="0" applyFont="1" applyFill="1" applyBorder="1"/>
    <xf numFmtId="0" fontId="12" fillId="0" borderId="19" xfId="0" applyFont="1" applyFill="1" applyBorder="1"/>
    <xf numFmtId="0" fontId="15" fillId="19" borderId="19" xfId="0" applyFont="1" applyFill="1" applyBorder="1"/>
    <xf numFmtId="0" fontId="16" fillId="0" borderId="19" xfId="0" applyFont="1" applyFill="1" applyBorder="1"/>
    <xf numFmtId="0" fontId="16" fillId="3" borderId="19" xfId="0" applyFont="1" applyFill="1" applyBorder="1"/>
    <xf numFmtId="0" fontId="23" fillId="0" borderId="19" xfId="2" applyFill="1" applyBorder="1"/>
    <xf numFmtId="0" fontId="0" fillId="0" borderId="19" xfId="0" applyBorder="1"/>
    <xf numFmtId="0" fontId="7" fillId="12" borderId="8" xfId="0" applyFont="1" applyFill="1" applyBorder="1"/>
    <xf numFmtId="0" fontId="24" fillId="0" borderId="8" xfId="0" applyFont="1" applyFill="1" applyBorder="1"/>
    <xf numFmtId="0" fontId="11" fillId="0" borderId="1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9" fillId="0" borderId="13" xfId="0" applyFont="1" applyFill="1" applyBorder="1"/>
    <xf numFmtId="0" fontId="7" fillId="0" borderId="5" xfId="0" applyFont="1" applyFill="1" applyBorder="1" applyAlignment="1">
      <alignment vertical="center"/>
    </xf>
    <xf numFmtId="0" fontId="0" fillId="14" borderId="8" xfId="0" applyFill="1" applyBorder="1" applyAlignment="1">
      <alignment vertical="center"/>
    </xf>
    <xf numFmtId="0" fontId="0" fillId="14" borderId="8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9" xfId="0" applyFont="1" applyFill="1" applyBorder="1"/>
    <xf numFmtId="0" fontId="8" fillId="0" borderId="19" xfId="0" applyFont="1" applyFill="1" applyBorder="1" applyAlignment="1">
      <alignment horizontal="center" vertical="center"/>
    </xf>
    <xf numFmtId="0" fontId="0" fillId="0" borderId="19" xfId="0" applyFill="1" applyBorder="1"/>
    <xf numFmtId="0" fontId="0" fillId="7" borderId="8" xfId="0" applyFill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/>
    </xf>
    <xf numFmtId="0" fontId="7" fillId="22" borderId="8" xfId="0" applyFont="1" applyFill="1" applyBorder="1" applyAlignment="1">
      <alignment horizontal="center" vertical="center"/>
    </xf>
    <xf numFmtId="0" fontId="7" fillId="22" borderId="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/>
    <xf numFmtId="0" fontId="7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7" fontId="7" fillId="0" borderId="1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7" fontId="21" fillId="0" borderId="19" xfId="0" applyNumberFormat="1" applyFont="1" applyFill="1" applyBorder="1" applyAlignment="1">
      <alignment horizontal="center" vertical="center" wrapText="1"/>
    </xf>
    <xf numFmtId="17" fontId="7" fillId="0" borderId="1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22" fontId="0" fillId="0" borderId="0" xfId="0" applyNumberFormat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19" fillId="23" borderId="8" xfId="0" applyFont="1" applyFill="1" applyBorder="1" applyAlignment="1">
      <alignment horizontal="center" vertical="center"/>
    </xf>
    <xf numFmtId="0" fontId="39" fillId="23" borderId="6" xfId="0" applyFont="1" applyFill="1" applyBorder="1" applyAlignment="1">
      <alignment horizontal="center" vertical="center"/>
    </xf>
    <xf numFmtId="0" fontId="19" fillId="23" borderId="1" xfId="0" applyFont="1" applyFill="1" applyBorder="1" applyAlignment="1">
      <alignment horizontal="center" vertical="center"/>
    </xf>
    <xf numFmtId="0" fontId="39" fillId="23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2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6" xfId="0" applyFont="1" applyFill="1" applyBorder="1"/>
    <xf numFmtId="0" fontId="0" fillId="0" borderId="6" xfId="0" applyFont="1" applyBorder="1"/>
    <xf numFmtId="0" fontId="25" fillId="0" borderId="6" xfId="1" applyFont="1" applyFill="1" applyBorder="1"/>
    <xf numFmtId="0" fontId="25" fillId="0" borderId="6" xfId="1" applyFont="1" applyBorder="1"/>
    <xf numFmtId="0" fontId="25" fillId="0" borderId="6" xfId="1" applyFont="1" applyBorder="1" applyAlignment="1">
      <alignment vertical="center"/>
    </xf>
    <xf numFmtId="0" fontId="0" fillId="0" borderId="18" xfId="0" applyFont="1" applyBorder="1"/>
    <xf numFmtId="0" fontId="0" fillId="0" borderId="6" xfId="0" applyFont="1" applyBorder="1" applyAlignment="1"/>
    <xf numFmtId="0" fontId="7" fillId="0" borderId="7" xfId="1" applyFont="1" applyFill="1" applyBorder="1"/>
    <xf numFmtId="0" fontId="7" fillId="17" borderId="8" xfId="0" applyFont="1" applyFill="1" applyBorder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/>
    <xf numFmtId="0" fontId="40" fillId="0" borderId="0" xfId="0" applyFont="1" applyAlignment="1">
      <alignment horizontal="center"/>
    </xf>
    <xf numFmtId="0" fontId="41" fillId="0" borderId="8" xfId="0" applyFont="1" applyFill="1" applyBorder="1"/>
    <xf numFmtId="0" fontId="41" fillId="0" borderId="1" xfId="0" applyFont="1" applyFill="1" applyBorder="1"/>
    <xf numFmtId="0" fontId="41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19" fillId="15" borderId="8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7" fillId="12" borderId="13" xfId="0" applyFont="1" applyFill="1" applyBorder="1"/>
    <xf numFmtId="0" fontId="19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24" borderId="8" xfId="0" applyFont="1" applyFill="1" applyBorder="1"/>
    <xf numFmtId="0" fontId="0" fillId="24" borderId="8" xfId="0" applyFont="1" applyFill="1" applyBorder="1"/>
    <xf numFmtId="0" fontId="7" fillId="24" borderId="19" xfId="0" applyFont="1" applyFill="1" applyBorder="1"/>
    <xf numFmtId="0" fontId="0" fillId="0" borderId="19" xfId="0" applyBorder="1" applyAlignment="1">
      <alignment vertical="center"/>
    </xf>
    <xf numFmtId="0" fontId="0" fillId="14" borderId="19" xfId="0" applyFill="1" applyBorder="1" applyAlignment="1">
      <alignment vertical="center"/>
    </xf>
    <xf numFmtId="0" fontId="8" fillId="12" borderId="8" xfId="0" applyFont="1" applyFill="1" applyBorder="1"/>
    <xf numFmtId="0" fontId="19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7" fillId="25" borderId="8" xfId="0" applyFont="1" applyFill="1" applyBorder="1"/>
    <xf numFmtId="0" fontId="24" fillId="12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39" fillId="23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3" borderId="8" xfId="0" applyFont="1" applyFill="1" applyBorder="1"/>
    <xf numFmtId="0" fontId="7" fillId="0" borderId="19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/>
    <xf numFmtId="0" fontId="22" fillId="0" borderId="3" xfId="0" applyFont="1" applyFill="1" applyBorder="1" applyAlignment="1">
      <alignment horizontal="center" vertical="center"/>
    </xf>
    <xf numFmtId="0" fontId="42" fillId="0" borderId="8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19" xfId="0" applyFont="1" applyFill="1" applyBorder="1" applyAlignment="1">
      <alignment horizontal="center" vertical="center"/>
    </xf>
    <xf numFmtId="0" fontId="24" fillId="0" borderId="19" xfId="0" applyFont="1" applyFill="1" applyBorder="1"/>
    <xf numFmtId="0" fontId="1" fillId="0" borderId="19" xfId="0" applyFont="1" applyBorder="1" applyAlignment="1">
      <alignment horizontal="center"/>
    </xf>
    <xf numFmtId="0" fontId="8" fillId="0" borderId="19" xfId="0" applyFont="1" applyFill="1" applyBorder="1"/>
    <xf numFmtId="0" fontId="0" fillId="0" borderId="21" xfId="0" applyFont="1" applyFill="1" applyBorder="1"/>
    <xf numFmtId="0" fontId="27" fillId="0" borderId="0" xfId="0" applyFont="1" applyFill="1" applyBorder="1" applyAlignment="1">
      <alignment horizontal="center" vertical="center"/>
    </xf>
    <xf numFmtId="49" fontId="32" fillId="3" borderId="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39" fillId="23" borderId="0" xfId="0" applyFont="1" applyFill="1" applyBorder="1" applyAlignment="1">
      <alignment horizontal="center" vertical="center"/>
    </xf>
    <xf numFmtId="0" fontId="19" fillId="23" borderId="8" xfId="0" applyFont="1" applyFill="1" applyBorder="1" applyAlignment="1">
      <alignment horizontal="center"/>
    </xf>
    <xf numFmtId="17" fontId="7" fillId="26" borderId="1" xfId="0" applyNumberFormat="1" applyFont="1" applyFill="1" applyBorder="1" applyAlignment="1">
      <alignment horizontal="center" vertical="center"/>
    </xf>
    <xf numFmtId="0" fontId="8" fillId="15" borderId="8" xfId="0" applyFont="1" applyFill="1" applyBorder="1"/>
    <xf numFmtId="0" fontId="8" fillId="24" borderId="8" xfId="0" applyFont="1" applyFill="1" applyBorder="1" applyAlignment="1">
      <alignment vertical="center"/>
    </xf>
    <xf numFmtId="0" fontId="8" fillId="24" borderId="19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12" borderId="8" xfId="0" applyFont="1" applyFill="1" applyBorder="1" applyAlignment="1" applyProtection="1">
      <alignment vertical="center" wrapText="1"/>
    </xf>
    <xf numFmtId="0" fontId="15" fillId="12" borderId="8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9" fillId="18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3">
    <cellStyle name="Excel Built-in Normal" xfId="1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walifikacjezawodowe.info/s/5132/81361-Zawody-i-kwalifikacje-formula-2019.htm?c1=6469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ekretariat@zszwolow.pl" TargetMode="External"/><Relationship Id="rId13" Type="http://schemas.openxmlformats.org/officeDocument/2006/relationships/hyperlink" Target="mailto:zsotmochow@zsotmochow.pl" TargetMode="External"/><Relationship Id="rId3" Type="http://schemas.openxmlformats.org/officeDocument/2006/relationships/hyperlink" Target="mailto:zszbogatynia@o2.pl" TargetMode="External"/><Relationship Id="rId7" Type="http://schemas.openxmlformats.org/officeDocument/2006/relationships/hyperlink" Target="mailto:sekretariat@zszzabkowice.pl" TargetMode="External"/><Relationship Id="rId12" Type="http://schemas.openxmlformats.org/officeDocument/2006/relationships/hyperlink" Target="mailto:zspaczkow@gmail.com" TargetMode="External"/><Relationship Id="rId2" Type="http://schemas.openxmlformats.org/officeDocument/2006/relationships/hyperlink" Target="mailto:zszc.bielawa@wp.pl" TargetMode="External"/><Relationship Id="rId1" Type="http://schemas.openxmlformats.org/officeDocument/2006/relationships/hyperlink" Target="mailto:sekretariat@michalska.pl" TargetMode="External"/><Relationship Id="rId6" Type="http://schemas.openxmlformats.org/officeDocument/2006/relationships/hyperlink" Target="mailto:soswtrzebnica@wp.pl" TargetMode="External"/><Relationship Id="rId11" Type="http://schemas.openxmlformats.org/officeDocument/2006/relationships/hyperlink" Target="mailto:zsp-kudowa@tlen.pl" TargetMode="External"/><Relationship Id="rId5" Type="http://schemas.openxmlformats.org/officeDocument/2006/relationships/hyperlink" Target="mailto:sekretariat@pzs-krzyzowice.wroc.pl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mailto:poczta@zs1.lubin.pl" TargetMode="External"/><Relationship Id="rId4" Type="http://schemas.openxmlformats.org/officeDocument/2006/relationships/hyperlink" Target="mailto:sekretariat@zszgoras.pol.pl" TargetMode="External"/><Relationship Id="rId9" Type="http://schemas.openxmlformats.org/officeDocument/2006/relationships/hyperlink" Target="mailto:zsp-kopernik@wp.pl" TargetMode="External"/><Relationship Id="rId14" Type="http://schemas.openxmlformats.org/officeDocument/2006/relationships/hyperlink" Target="mailto:k.kwapisz@zs1.lubin.p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zszio@kamienna-gora.pl" TargetMode="External"/><Relationship Id="rId13" Type="http://schemas.openxmlformats.org/officeDocument/2006/relationships/hyperlink" Target="mailto:sylwia.ciszek@zso-kowary.pl" TargetMode="External"/><Relationship Id="rId18" Type="http://schemas.openxmlformats.org/officeDocument/2006/relationships/hyperlink" Target="mailto:mfrydel.zsg@gmail.com" TargetMode="External"/><Relationship Id="rId3" Type="http://schemas.openxmlformats.org/officeDocument/2006/relationships/hyperlink" Target="mailto:kancelaria@zspemilka.pl" TargetMode="External"/><Relationship Id="rId7" Type="http://schemas.openxmlformats.org/officeDocument/2006/relationships/hyperlink" Target="mailto:sekretariat@soszw.info" TargetMode="External"/><Relationship Id="rId12" Type="http://schemas.openxmlformats.org/officeDocument/2006/relationships/hyperlink" Target="mailto:sekretariat@zstio.glogow.pl" TargetMode="External"/><Relationship Id="rId17" Type="http://schemas.openxmlformats.org/officeDocument/2006/relationships/hyperlink" Target="mailto:szkolalzn@poczta.fm" TargetMode="External"/><Relationship Id="rId2" Type="http://schemas.openxmlformats.org/officeDocument/2006/relationships/hyperlink" Target="mailto:pzsoborniki@powiat.trzebnica.pl" TargetMode="External"/><Relationship Id="rId16" Type="http://schemas.openxmlformats.org/officeDocument/2006/relationships/hyperlink" Target="mailto:sekretariat@zszgoras.pol.pl" TargetMode="External"/><Relationship Id="rId1" Type="http://schemas.openxmlformats.org/officeDocument/2006/relationships/hyperlink" Target="mailto:zs31sekretariat@gmail.com" TargetMode="External"/><Relationship Id="rId6" Type="http://schemas.openxmlformats.org/officeDocument/2006/relationships/hyperlink" Target="mailto:sekretariat@pzs-krzyzowice.wroc.pl" TargetMode="External"/><Relationship Id="rId11" Type="http://schemas.openxmlformats.org/officeDocument/2006/relationships/hyperlink" Target="mailto:liceum@zsp-kudowa.pl" TargetMode="External"/><Relationship Id="rId5" Type="http://schemas.openxmlformats.org/officeDocument/2006/relationships/hyperlink" Target="mailto:biuro.ksp@onet.eu" TargetMode="External"/><Relationship Id="rId15" Type="http://schemas.openxmlformats.org/officeDocument/2006/relationships/hyperlink" Target="mailto:sekretariat@michalska.pl" TargetMode="External"/><Relationship Id="rId10" Type="http://schemas.openxmlformats.org/officeDocument/2006/relationships/hyperlink" Target="mailto:zsp-kopernik@wp.pl" TargetMode="External"/><Relationship Id="rId19" Type="http://schemas.openxmlformats.org/officeDocument/2006/relationships/hyperlink" Target="mailto:biuro@ecks.pl" TargetMode="External"/><Relationship Id="rId4" Type="http://schemas.openxmlformats.org/officeDocument/2006/relationships/hyperlink" Target="mailto:sekretariat@zsmilicz.eu" TargetMode="External"/><Relationship Id="rId9" Type="http://schemas.openxmlformats.org/officeDocument/2006/relationships/hyperlink" Target="mailto:sekretariat@zszwolow.pl" TargetMode="External"/><Relationship Id="rId14" Type="http://schemas.openxmlformats.org/officeDocument/2006/relationships/hyperlink" Target="mailto:sekretariat@zszzabkowi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S579"/>
  <sheetViews>
    <sheetView tabSelected="1" topLeftCell="B1" zoomScale="70" zoomScaleNormal="70" workbookViewId="0">
      <selection activeCell="K186" sqref="K186"/>
    </sheetView>
  </sheetViews>
  <sheetFormatPr defaultColWidth="8.85546875" defaultRowHeight="15"/>
  <cols>
    <col min="1" max="1" width="8.85546875" style="2"/>
    <col min="2" max="2" width="6.42578125" style="2" customWidth="1"/>
    <col min="3" max="3" width="125.140625" style="2" bestFit="1" customWidth="1"/>
    <col min="4" max="4" width="19.28515625" style="2" bestFit="1" customWidth="1"/>
    <col min="5" max="5" width="67.42578125" style="323" customWidth="1"/>
    <col min="6" max="6" width="15.140625" style="323" customWidth="1"/>
    <col min="7" max="7" width="11" style="333" bestFit="1" customWidth="1"/>
    <col min="8" max="8" width="24.7109375" style="347" bestFit="1" customWidth="1"/>
    <col min="9" max="9" width="14.140625" style="2" bestFit="1" customWidth="1"/>
    <col min="10" max="10" width="126.28515625" style="2" customWidth="1"/>
    <col min="11" max="11" width="26.5703125" style="2" customWidth="1"/>
    <col min="12" max="12" width="3.85546875" style="2" hidden="1" customWidth="1"/>
    <col min="13" max="13" width="3.5703125" style="2" hidden="1" customWidth="1"/>
    <col min="14" max="14" width="4" style="2" hidden="1" customWidth="1"/>
    <col min="15" max="15" width="4.28515625" style="2" hidden="1" customWidth="1"/>
    <col min="16" max="16" width="3.7109375" style="2" hidden="1" customWidth="1"/>
    <col min="17" max="17" width="4.140625" style="2" hidden="1" customWidth="1"/>
    <col min="18" max="18" width="9.140625" style="2" customWidth="1"/>
    <col min="19" max="16384" width="8.85546875" style="2"/>
  </cols>
  <sheetData>
    <row r="2" spans="2:19">
      <c r="E2" s="322">
        <f ca="1">NOW()</f>
        <v>44169.164513310185</v>
      </c>
    </row>
    <row r="3" spans="2:19" ht="18.75">
      <c r="C3" s="421" t="s">
        <v>25</v>
      </c>
      <c r="D3" s="421"/>
      <c r="E3" s="421"/>
      <c r="F3" s="421"/>
      <c r="G3" s="421"/>
      <c r="H3" s="421"/>
      <c r="I3" s="421"/>
      <c r="J3" s="421"/>
    </row>
    <row r="4" spans="2:19" ht="23.25">
      <c r="C4" s="422" t="s">
        <v>28</v>
      </c>
      <c r="D4" s="422"/>
      <c r="E4" s="422"/>
      <c r="F4" s="422"/>
      <c r="G4" s="422"/>
      <c r="H4" s="422"/>
      <c r="I4" s="422"/>
      <c r="J4" s="422"/>
    </row>
    <row r="5" spans="2:19" ht="18.75">
      <c r="C5" s="422" t="s">
        <v>1368</v>
      </c>
      <c r="D5" s="422"/>
      <c r="E5" s="422"/>
      <c r="F5" s="422"/>
      <c r="G5" s="422"/>
      <c r="H5" s="422"/>
      <c r="I5" s="422"/>
      <c r="J5" s="422"/>
    </row>
    <row r="6" spans="2:19">
      <c r="I6" s="308">
        <f>SUM(I9:I791)</f>
        <v>2270</v>
      </c>
    </row>
    <row r="7" spans="2:19" ht="30">
      <c r="B7" s="416" t="s">
        <v>0</v>
      </c>
      <c r="C7" s="417" t="s">
        <v>30</v>
      </c>
      <c r="D7" s="417" t="s">
        <v>48</v>
      </c>
      <c r="E7" s="416" t="s">
        <v>1</v>
      </c>
      <c r="F7" s="419" t="s">
        <v>2</v>
      </c>
      <c r="G7" s="423" t="s">
        <v>4</v>
      </c>
      <c r="H7" s="419" t="s">
        <v>3</v>
      </c>
      <c r="I7" s="301" t="s">
        <v>27</v>
      </c>
      <c r="J7" s="420" t="s">
        <v>26</v>
      </c>
      <c r="K7" s="417" t="s">
        <v>2350</v>
      </c>
      <c r="L7" s="67" t="s">
        <v>580</v>
      </c>
      <c r="M7" s="10" t="s">
        <v>581</v>
      </c>
      <c r="N7" s="66" t="s">
        <v>582</v>
      </c>
      <c r="O7" s="66" t="s">
        <v>583</v>
      </c>
      <c r="P7" s="66" t="s">
        <v>588</v>
      </c>
      <c r="Q7" s="115" t="s">
        <v>1173</v>
      </c>
    </row>
    <row r="8" spans="2:19" customFormat="1" hidden="1">
      <c r="B8" s="416"/>
      <c r="C8" s="418"/>
      <c r="D8" s="418"/>
      <c r="E8" s="416"/>
      <c r="F8" s="419"/>
      <c r="G8" s="423"/>
      <c r="H8" s="424"/>
      <c r="I8" s="181">
        <v>1</v>
      </c>
      <c r="J8" s="420"/>
      <c r="K8" s="418"/>
      <c r="L8" s="17"/>
      <c r="M8" s="10"/>
      <c r="N8" s="7"/>
      <c r="O8" s="7"/>
      <c r="P8" s="7"/>
    </row>
    <row r="9" spans="2:19" customFormat="1" hidden="1">
      <c r="B9" s="120" t="s">
        <v>5</v>
      </c>
      <c r="C9" s="156" t="s">
        <v>2337</v>
      </c>
      <c r="D9" s="8" t="s">
        <v>1369</v>
      </c>
      <c r="E9" s="198" t="s">
        <v>103</v>
      </c>
      <c r="F9" s="199">
        <v>722307</v>
      </c>
      <c r="G9" s="205" t="s">
        <v>83</v>
      </c>
      <c r="H9" s="348"/>
      <c r="I9" s="200">
        <v>12</v>
      </c>
      <c r="J9" s="198" t="s">
        <v>1371</v>
      </c>
      <c r="K9" s="362" t="s">
        <v>1371</v>
      </c>
      <c r="L9" s="20"/>
      <c r="M9" s="9"/>
      <c r="N9" s="9"/>
      <c r="O9" s="9"/>
      <c r="P9" s="9"/>
      <c r="Q9" s="9"/>
      <c r="S9" t="s">
        <v>943</v>
      </c>
    </row>
    <row r="10" spans="2:19" customFormat="1" hidden="1">
      <c r="B10" s="120" t="s">
        <v>6</v>
      </c>
      <c r="C10" s="156" t="s">
        <v>2337</v>
      </c>
      <c r="D10" s="8" t="s">
        <v>1369</v>
      </c>
      <c r="E10" s="198" t="s">
        <v>103</v>
      </c>
      <c r="F10" s="199">
        <v>722307</v>
      </c>
      <c r="G10" s="205" t="s">
        <v>83</v>
      </c>
      <c r="H10" s="348" t="s">
        <v>2396</v>
      </c>
      <c r="I10" s="200">
        <v>5</v>
      </c>
      <c r="J10" s="198" t="s">
        <v>1465</v>
      </c>
      <c r="K10" s="122" t="s">
        <v>105</v>
      </c>
      <c r="L10" s="20"/>
      <c r="M10" s="9"/>
      <c r="N10" s="9"/>
      <c r="O10" s="9"/>
      <c r="P10" s="9"/>
      <c r="Q10" s="9"/>
    </row>
    <row r="11" spans="2:19" customFormat="1" hidden="1">
      <c r="B11" s="120" t="s">
        <v>7</v>
      </c>
      <c r="C11" s="156" t="s">
        <v>2337</v>
      </c>
      <c r="D11" s="8" t="s">
        <v>1369</v>
      </c>
      <c r="E11" s="198" t="s">
        <v>74</v>
      </c>
      <c r="F11" s="199">
        <v>723103</v>
      </c>
      <c r="G11" s="205" t="s">
        <v>75</v>
      </c>
      <c r="H11" s="368" t="s">
        <v>1349</v>
      </c>
      <c r="I11" s="363">
        <v>23</v>
      </c>
      <c r="J11" s="358" t="s">
        <v>1501</v>
      </c>
      <c r="K11" s="359" t="s">
        <v>1503</v>
      </c>
      <c r="L11" s="20"/>
      <c r="M11" s="9"/>
      <c r="N11" s="9"/>
      <c r="O11" s="9"/>
      <c r="P11" s="9"/>
      <c r="Q11" s="9"/>
      <c r="S11" t="s">
        <v>1503</v>
      </c>
    </row>
    <row r="12" spans="2:19" customFormat="1" hidden="1">
      <c r="B12" s="120" t="s">
        <v>8</v>
      </c>
      <c r="C12" s="156" t="s">
        <v>2337</v>
      </c>
      <c r="D12" s="8" t="s">
        <v>1369</v>
      </c>
      <c r="E12" s="198" t="s">
        <v>114</v>
      </c>
      <c r="F12" s="199">
        <v>514101</v>
      </c>
      <c r="G12" s="205" t="s">
        <v>77</v>
      </c>
      <c r="H12" s="407" t="s">
        <v>2394</v>
      </c>
      <c r="I12" s="363">
        <v>17</v>
      </c>
      <c r="J12" s="358" t="s">
        <v>1501</v>
      </c>
      <c r="K12" s="359" t="s">
        <v>1503</v>
      </c>
      <c r="L12" s="20"/>
      <c r="M12" s="9"/>
      <c r="N12" s="9"/>
      <c r="O12" s="9"/>
      <c r="P12" s="9"/>
      <c r="Q12" s="9"/>
      <c r="S12" t="s">
        <v>1503</v>
      </c>
    </row>
    <row r="13" spans="2:19" customFormat="1" hidden="1">
      <c r="B13" s="120" t="s">
        <v>9</v>
      </c>
      <c r="C13" s="156" t="s">
        <v>2337</v>
      </c>
      <c r="D13" s="8" t="s">
        <v>1369</v>
      </c>
      <c r="E13" s="198" t="s">
        <v>80</v>
      </c>
      <c r="F13" s="199">
        <v>512001</v>
      </c>
      <c r="G13" s="205" t="s">
        <v>81</v>
      </c>
      <c r="H13" s="388" t="s">
        <v>2347</v>
      </c>
      <c r="I13" s="363">
        <v>9</v>
      </c>
      <c r="J13" s="358" t="s">
        <v>1501</v>
      </c>
      <c r="K13" s="359" t="s">
        <v>1503</v>
      </c>
      <c r="L13" s="20"/>
      <c r="M13" s="9"/>
      <c r="N13" s="9"/>
      <c r="O13" s="9"/>
      <c r="P13" s="9"/>
      <c r="Q13" s="9"/>
      <c r="S13" t="s">
        <v>1503</v>
      </c>
    </row>
    <row r="14" spans="2:19" customFormat="1" hidden="1">
      <c r="B14" s="120" t="s">
        <v>10</v>
      </c>
      <c r="C14" s="156" t="s">
        <v>2337</v>
      </c>
      <c r="D14" s="8" t="s">
        <v>1369</v>
      </c>
      <c r="E14" s="198" t="s">
        <v>611</v>
      </c>
      <c r="F14" s="199">
        <v>742118</v>
      </c>
      <c r="G14" s="205" t="s">
        <v>1370</v>
      </c>
      <c r="H14" s="348"/>
      <c r="I14" s="200">
        <v>12</v>
      </c>
      <c r="J14" s="198" t="s">
        <v>1371</v>
      </c>
      <c r="K14" s="362" t="s">
        <v>1371</v>
      </c>
      <c r="L14" s="20"/>
      <c r="M14" s="9"/>
      <c r="N14" s="9"/>
      <c r="O14" s="9"/>
      <c r="P14" s="9"/>
      <c r="Q14" s="9"/>
      <c r="S14" t="s">
        <v>943</v>
      </c>
    </row>
    <row r="15" spans="2:19" customFormat="1">
      <c r="B15" s="120" t="s">
        <v>11</v>
      </c>
      <c r="C15" s="156" t="s">
        <v>2337</v>
      </c>
      <c r="D15" s="8" t="s">
        <v>1369</v>
      </c>
      <c r="E15" s="284" t="s">
        <v>45</v>
      </c>
      <c r="F15" s="199">
        <v>522301</v>
      </c>
      <c r="G15" s="205" t="s">
        <v>43</v>
      </c>
      <c r="H15" s="348" t="s">
        <v>2338</v>
      </c>
      <c r="I15" s="200">
        <v>9</v>
      </c>
      <c r="J15" s="207" t="s">
        <v>117</v>
      </c>
      <c r="K15" s="122" t="s">
        <v>943</v>
      </c>
      <c r="L15" s="20"/>
      <c r="M15" s="9"/>
      <c r="N15" s="9"/>
      <c r="O15" s="9"/>
      <c r="P15" s="9"/>
      <c r="Q15" s="9"/>
    </row>
    <row r="16" spans="2:19" customFormat="1" hidden="1">
      <c r="B16" s="120" t="s">
        <v>12</v>
      </c>
      <c r="C16" s="156" t="s">
        <v>2337</v>
      </c>
      <c r="D16" s="8" t="s">
        <v>1369</v>
      </c>
      <c r="E16" s="198" t="s">
        <v>217</v>
      </c>
      <c r="F16" s="199">
        <v>722204</v>
      </c>
      <c r="G16" s="205" t="s">
        <v>185</v>
      </c>
      <c r="H16" s="348" t="s">
        <v>1350</v>
      </c>
      <c r="I16" s="200">
        <v>2</v>
      </c>
      <c r="J16" s="198" t="s">
        <v>1465</v>
      </c>
      <c r="K16" s="122" t="s">
        <v>105</v>
      </c>
      <c r="L16" s="22"/>
      <c r="M16" s="9"/>
      <c r="N16" s="9"/>
      <c r="O16" s="9"/>
      <c r="P16" s="9"/>
      <c r="Q16" s="9"/>
    </row>
    <row r="17" spans="2:17" customFormat="1" hidden="1">
      <c r="B17" s="120" t="s">
        <v>13</v>
      </c>
      <c r="C17" s="156" t="s">
        <v>2337</v>
      </c>
      <c r="D17" s="8" t="s">
        <v>1369</v>
      </c>
      <c r="E17" s="198" t="s">
        <v>215</v>
      </c>
      <c r="F17" s="199">
        <v>751201</v>
      </c>
      <c r="G17" s="205" t="s">
        <v>183</v>
      </c>
      <c r="H17" s="388" t="s">
        <v>1349</v>
      </c>
      <c r="I17" s="363">
        <v>6</v>
      </c>
      <c r="J17" s="358" t="s">
        <v>1501</v>
      </c>
      <c r="K17" s="359" t="s">
        <v>1503</v>
      </c>
      <c r="L17" s="22"/>
      <c r="M17" s="9"/>
      <c r="N17" s="9"/>
      <c r="O17" s="9"/>
      <c r="P17" s="9"/>
      <c r="Q17" s="9"/>
    </row>
    <row r="18" spans="2:17" customFormat="1" hidden="1">
      <c r="B18" s="120" t="s">
        <v>14</v>
      </c>
      <c r="C18" s="156" t="s">
        <v>2337</v>
      </c>
      <c r="D18" s="219" t="s">
        <v>1369</v>
      </c>
      <c r="E18" s="221" t="s">
        <v>52</v>
      </c>
      <c r="F18" s="120">
        <v>721306</v>
      </c>
      <c r="G18" s="120" t="s">
        <v>63</v>
      </c>
      <c r="H18" s="349" t="s">
        <v>2397</v>
      </c>
      <c r="I18" s="346">
        <v>1</v>
      </c>
      <c r="J18" s="198" t="s">
        <v>1465</v>
      </c>
      <c r="K18" s="221" t="s">
        <v>105</v>
      </c>
      <c r="L18" s="22"/>
      <c r="M18" s="286"/>
      <c r="N18" s="286"/>
      <c r="O18" s="286"/>
      <c r="P18" s="286"/>
      <c r="Q18" s="286"/>
    </row>
    <row r="19" spans="2:17" customFormat="1" hidden="1">
      <c r="B19" s="120" t="s">
        <v>15</v>
      </c>
      <c r="C19" s="156" t="s">
        <v>2337</v>
      </c>
      <c r="D19" s="219" t="s">
        <v>1369</v>
      </c>
      <c r="E19" s="198" t="s">
        <v>1435</v>
      </c>
      <c r="F19" s="199">
        <v>713203</v>
      </c>
      <c r="G19" s="199" t="s">
        <v>66</v>
      </c>
      <c r="H19" s="349" t="s">
        <v>2396</v>
      </c>
      <c r="I19" s="346">
        <v>1</v>
      </c>
      <c r="J19" s="198" t="s">
        <v>1465</v>
      </c>
      <c r="K19" s="221" t="s">
        <v>105</v>
      </c>
      <c r="L19" s="22"/>
      <c r="M19" s="286"/>
      <c r="N19" s="286"/>
      <c r="O19" s="286"/>
      <c r="P19" s="286"/>
      <c r="Q19" s="286"/>
    </row>
    <row r="20" spans="2:17" customFormat="1" hidden="1">
      <c r="B20" s="120" t="s">
        <v>16</v>
      </c>
      <c r="C20" s="156" t="s">
        <v>2337</v>
      </c>
      <c r="D20" s="219" t="s">
        <v>1369</v>
      </c>
      <c r="E20" s="198" t="s">
        <v>78</v>
      </c>
      <c r="F20" s="199">
        <v>741203</v>
      </c>
      <c r="G20" s="199" t="s">
        <v>64</v>
      </c>
      <c r="H20" s="349" t="s">
        <v>2396</v>
      </c>
      <c r="I20" s="346">
        <v>1</v>
      </c>
      <c r="J20" s="198" t="s">
        <v>1465</v>
      </c>
      <c r="K20" s="357" t="s">
        <v>105</v>
      </c>
      <c r="L20" s="22"/>
      <c r="M20" s="286"/>
      <c r="N20" s="286"/>
      <c r="O20" s="286"/>
      <c r="P20" s="286"/>
      <c r="Q20" s="286"/>
    </row>
    <row r="21" spans="2:17" customFormat="1" hidden="1">
      <c r="B21" s="120" t="s">
        <v>17</v>
      </c>
      <c r="C21" s="156" t="s">
        <v>2337</v>
      </c>
      <c r="D21" s="219" t="s">
        <v>1369</v>
      </c>
      <c r="E21" s="136" t="s">
        <v>87</v>
      </c>
      <c r="F21" s="219">
        <v>741103</v>
      </c>
      <c r="G21" s="120" t="s">
        <v>54</v>
      </c>
      <c r="H21" s="398" t="s">
        <v>2338</v>
      </c>
      <c r="I21" s="346">
        <v>1</v>
      </c>
      <c r="J21" s="207" t="s">
        <v>117</v>
      </c>
      <c r="K21" s="359" t="s">
        <v>943</v>
      </c>
      <c r="L21" s="22"/>
      <c r="M21" s="286"/>
      <c r="N21" s="286"/>
      <c r="O21" s="286"/>
      <c r="P21" s="286"/>
      <c r="Q21" s="286"/>
    </row>
    <row r="22" spans="2:17" customFormat="1" hidden="1">
      <c r="B22" s="120" t="s">
        <v>18</v>
      </c>
      <c r="C22" s="156" t="s">
        <v>2337</v>
      </c>
      <c r="D22" s="219" t="s">
        <v>1369</v>
      </c>
      <c r="E22" s="221" t="s">
        <v>55</v>
      </c>
      <c r="F22" s="120">
        <v>343101</v>
      </c>
      <c r="G22" s="120" t="s">
        <v>65</v>
      </c>
      <c r="H22" s="388" t="s">
        <v>1421</v>
      </c>
      <c r="I22" s="366">
        <v>2</v>
      </c>
      <c r="J22" s="358" t="s">
        <v>1501</v>
      </c>
      <c r="K22" s="359" t="s">
        <v>1503</v>
      </c>
      <c r="L22" s="22"/>
      <c r="M22" s="286"/>
      <c r="N22" s="286"/>
      <c r="O22" s="286"/>
      <c r="P22" s="286"/>
      <c r="Q22" s="286"/>
    </row>
    <row r="23" spans="2:17" customFormat="1" hidden="1">
      <c r="B23" s="120" t="s">
        <v>19</v>
      </c>
      <c r="C23" s="156" t="s">
        <v>2337</v>
      </c>
      <c r="D23" s="219" t="s">
        <v>1369</v>
      </c>
      <c r="E23" s="284" t="s">
        <v>46</v>
      </c>
      <c r="F23" s="216">
        <v>741201</v>
      </c>
      <c r="G23" s="216" t="s">
        <v>182</v>
      </c>
      <c r="H23" s="349"/>
      <c r="I23" s="400">
        <v>2</v>
      </c>
      <c r="J23" s="172" t="s">
        <v>61</v>
      </c>
      <c r="K23" s="401" t="s">
        <v>851</v>
      </c>
      <c r="L23" s="22"/>
      <c r="M23" s="286"/>
      <c r="N23" s="286"/>
      <c r="O23" s="286"/>
      <c r="P23" s="286"/>
      <c r="Q23" s="286"/>
    </row>
    <row r="24" spans="2:17" customFormat="1" hidden="1">
      <c r="B24" s="120" t="s">
        <v>20</v>
      </c>
      <c r="C24" s="156" t="s">
        <v>2337</v>
      </c>
      <c r="D24" s="219" t="s">
        <v>1369</v>
      </c>
      <c r="E24" s="284" t="s">
        <v>33</v>
      </c>
      <c r="F24" s="216">
        <v>752205</v>
      </c>
      <c r="G24" s="216" t="s">
        <v>69</v>
      </c>
      <c r="H24" s="120" t="s">
        <v>2357</v>
      </c>
      <c r="I24" s="285">
        <v>4</v>
      </c>
      <c r="J24" s="207" t="s">
        <v>117</v>
      </c>
      <c r="K24" s="221" t="s">
        <v>943</v>
      </c>
      <c r="L24" s="22"/>
      <c r="M24" s="286"/>
      <c r="N24" s="286"/>
      <c r="O24" s="286"/>
      <c r="P24" s="286"/>
      <c r="Q24" s="286"/>
    </row>
    <row r="25" spans="2:17" customFormat="1" hidden="1">
      <c r="B25" s="120" t="s">
        <v>21</v>
      </c>
      <c r="C25" s="156" t="s">
        <v>1406</v>
      </c>
      <c r="D25" s="8" t="s">
        <v>102</v>
      </c>
      <c r="E25" s="221" t="s">
        <v>44</v>
      </c>
      <c r="F25" s="120">
        <v>512001</v>
      </c>
      <c r="G25" s="205" t="s">
        <v>81</v>
      </c>
      <c r="H25" s="343" t="s">
        <v>2260</v>
      </c>
      <c r="I25" s="137">
        <v>3</v>
      </c>
      <c r="J25" s="141" t="s">
        <v>228</v>
      </c>
      <c r="K25" s="122" t="s">
        <v>104</v>
      </c>
      <c r="L25" s="22"/>
      <c r="M25" s="9"/>
      <c r="N25" s="9"/>
      <c r="O25" s="9"/>
      <c r="P25" s="9"/>
      <c r="Q25" s="9"/>
    </row>
    <row r="26" spans="2:17" customFormat="1" hidden="1">
      <c r="B26" s="120" t="s">
        <v>22</v>
      </c>
      <c r="C26" s="156" t="s">
        <v>1406</v>
      </c>
      <c r="D26" s="8" t="s">
        <v>102</v>
      </c>
      <c r="E26" s="221" t="s">
        <v>36</v>
      </c>
      <c r="F26" s="120">
        <v>514101</v>
      </c>
      <c r="G26" s="205" t="s">
        <v>77</v>
      </c>
      <c r="H26" s="343" t="s">
        <v>1413</v>
      </c>
      <c r="I26" s="137">
        <v>3</v>
      </c>
      <c r="J26" s="141" t="s">
        <v>228</v>
      </c>
      <c r="K26" s="122" t="s">
        <v>104</v>
      </c>
      <c r="L26" s="22"/>
      <c r="M26" s="9"/>
      <c r="N26" s="9"/>
      <c r="O26" s="9"/>
      <c r="P26" s="9"/>
      <c r="Q26" s="9"/>
    </row>
    <row r="27" spans="2:17" customFormat="1" hidden="1">
      <c r="B27" s="120" t="s">
        <v>23</v>
      </c>
      <c r="C27" s="156" t="s">
        <v>1406</v>
      </c>
      <c r="D27" s="8" t="s">
        <v>102</v>
      </c>
      <c r="E27" s="221" t="s">
        <v>34</v>
      </c>
      <c r="F27" s="120">
        <v>723103</v>
      </c>
      <c r="G27" s="206" t="s">
        <v>75</v>
      </c>
      <c r="H27" s="120" t="s">
        <v>1420</v>
      </c>
      <c r="I27" s="137">
        <v>3</v>
      </c>
      <c r="J27" s="141" t="s">
        <v>228</v>
      </c>
      <c r="K27" s="122" t="s">
        <v>104</v>
      </c>
      <c r="L27" s="22"/>
      <c r="M27" s="9"/>
      <c r="N27" s="9"/>
      <c r="O27" s="9"/>
      <c r="P27" s="9"/>
      <c r="Q27" s="9"/>
    </row>
    <row r="28" spans="2:17" customFormat="1">
      <c r="B28" s="120" t="s">
        <v>24</v>
      </c>
      <c r="C28" s="156" t="s">
        <v>1406</v>
      </c>
      <c r="D28" s="219" t="s">
        <v>102</v>
      </c>
      <c r="E28" s="321" t="s">
        <v>45</v>
      </c>
      <c r="F28" s="199">
        <v>522301</v>
      </c>
      <c r="G28" s="205" t="s">
        <v>43</v>
      </c>
      <c r="H28" s="295" t="s">
        <v>1413</v>
      </c>
      <c r="I28" s="285">
        <v>1</v>
      </c>
      <c r="J28" s="141" t="s">
        <v>228</v>
      </c>
      <c r="K28" s="221" t="s">
        <v>104</v>
      </c>
      <c r="L28" s="22"/>
      <c r="M28" s="286"/>
      <c r="N28" s="286"/>
      <c r="O28" s="286"/>
      <c r="P28" s="286"/>
      <c r="Q28" s="286"/>
    </row>
    <row r="29" spans="2:17" customFormat="1" hidden="1">
      <c r="B29" s="120" t="s">
        <v>92</v>
      </c>
      <c r="C29" s="156" t="s">
        <v>139</v>
      </c>
      <c r="D29" s="8" t="s">
        <v>140</v>
      </c>
      <c r="E29" s="198" t="s">
        <v>34</v>
      </c>
      <c r="F29" s="199">
        <v>723103</v>
      </c>
      <c r="G29" s="199" t="s">
        <v>75</v>
      </c>
      <c r="H29" s="295" t="s">
        <v>2281</v>
      </c>
      <c r="I29" s="200">
        <v>13</v>
      </c>
      <c r="J29" s="7" t="s">
        <v>1485</v>
      </c>
      <c r="K29" s="122" t="s">
        <v>35</v>
      </c>
      <c r="L29" s="22"/>
      <c r="M29" s="9"/>
      <c r="N29" s="9"/>
      <c r="O29" s="9"/>
      <c r="P29" s="9"/>
      <c r="Q29" s="9"/>
    </row>
    <row r="30" spans="2:17" customFormat="1" hidden="1">
      <c r="B30" s="120" t="s">
        <v>93</v>
      </c>
      <c r="C30" s="156" t="s">
        <v>139</v>
      </c>
      <c r="D30" s="8" t="s">
        <v>140</v>
      </c>
      <c r="E30" s="198" t="s">
        <v>1435</v>
      </c>
      <c r="F30" s="199">
        <v>713203</v>
      </c>
      <c r="G30" s="199" t="s">
        <v>66</v>
      </c>
      <c r="H30" s="349" t="s">
        <v>2396</v>
      </c>
      <c r="I30" s="200">
        <v>1</v>
      </c>
      <c r="J30" s="198" t="s">
        <v>1465</v>
      </c>
      <c r="K30" s="275" t="s">
        <v>105</v>
      </c>
      <c r="L30" s="22"/>
      <c r="M30" s="9"/>
      <c r="N30" s="9"/>
      <c r="O30" s="9"/>
      <c r="P30" s="9"/>
      <c r="Q30" s="9"/>
    </row>
    <row r="31" spans="2:17" customFormat="1" hidden="1">
      <c r="B31" s="120" t="s">
        <v>94</v>
      </c>
      <c r="C31" s="156" t="s">
        <v>139</v>
      </c>
      <c r="D31" s="8" t="s">
        <v>140</v>
      </c>
      <c r="E31" s="198" t="s">
        <v>33</v>
      </c>
      <c r="F31" s="199">
        <v>752205</v>
      </c>
      <c r="G31" s="199" t="s">
        <v>69</v>
      </c>
      <c r="H31" s="120" t="s">
        <v>2357</v>
      </c>
      <c r="I31" s="200">
        <v>2</v>
      </c>
      <c r="J31" s="198" t="s">
        <v>117</v>
      </c>
      <c r="K31" s="122" t="s">
        <v>943</v>
      </c>
      <c r="L31" s="22"/>
      <c r="M31" s="9"/>
      <c r="N31" s="9"/>
      <c r="O31" s="9"/>
      <c r="P31" s="9"/>
      <c r="Q31" s="9"/>
    </row>
    <row r="32" spans="2:17" customFormat="1">
      <c r="B32" s="120" t="s">
        <v>95</v>
      </c>
      <c r="C32" s="156" t="s">
        <v>139</v>
      </c>
      <c r="D32" s="8" t="s">
        <v>140</v>
      </c>
      <c r="E32" s="321" t="s">
        <v>45</v>
      </c>
      <c r="F32" s="199">
        <v>522301</v>
      </c>
      <c r="G32" s="205" t="s">
        <v>43</v>
      </c>
      <c r="H32" s="295" t="s">
        <v>1342</v>
      </c>
      <c r="I32" s="200">
        <v>6</v>
      </c>
      <c r="J32" s="7" t="s">
        <v>1485</v>
      </c>
      <c r="K32" s="122" t="s">
        <v>35</v>
      </c>
      <c r="L32" s="22"/>
      <c r="M32" s="9"/>
      <c r="N32" s="9"/>
      <c r="O32" s="9"/>
      <c r="P32" s="9"/>
      <c r="Q32" s="9"/>
    </row>
    <row r="33" spans="2:17" customFormat="1" hidden="1">
      <c r="B33" s="120" t="s">
        <v>96</v>
      </c>
      <c r="C33" s="156" t="s">
        <v>139</v>
      </c>
      <c r="D33" s="8" t="s">
        <v>140</v>
      </c>
      <c r="E33" s="198" t="s">
        <v>36</v>
      </c>
      <c r="F33" s="199">
        <v>514101</v>
      </c>
      <c r="G33" s="205" t="s">
        <v>77</v>
      </c>
      <c r="H33" s="295" t="s">
        <v>2282</v>
      </c>
      <c r="I33" s="200">
        <v>4</v>
      </c>
      <c r="J33" s="7" t="s">
        <v>1485</v>
      </c>
      <c r="K33" s="122" t="s">
        <v>35</v>
      </c>
      <c r="L33" s="22"/>
      <c r="M33" s="9"/>
      <c r="N33" s="9"/>
      <c r="O33" s="9"/>
      <c r="P33" s="9"/>
      <c r="Q33" s="9"/>
    </row>
    <row r="34" spans="2:17" customFormat="1" hidden="1">
      <c r="B34" s="120" t="s">
        <v>97</v>
      </c>
      <c r="C34" s="156" t="s">
        <v>139</v>
      </c>
      <c r="D34" s="8" t="s">
        <v>140</v>
      </c>
      <c r="E34" s="198" t="s">
        <v>44</v>
      </c>
      <c r="F34" s="199">
        <v>512001</v>
      </c>
      <c r="G34" s="205" t="s">
        <v>81</v>
      </c>
      <c r="H34" s="295" t="s">
        <v>2282</v>
      </c>
      <c r="I34" s="200">
        <v>6</v>
      </c>
      <c r="J34" s="7" t="s">
        <v>1485</v>
      </c>
      <c r="K34" s="122" t="s">
        <v>35</v>
      </c>
      <c r="L34" s="22"/>
      <c r="M34" s="9"/>
      <c r="N34" s="9"/>
      <c r="O34" s="9"/>
      <c r="P34" s="9"/>
      <c r="Q34" s="9"/>
    </row>
    <row r="35" spans="2:17" customFormat="1" hidden="1">
      <c r="B35" s="120" t="s">
        <v>98</v>
      </c>
      <c r="C35" s="156" t="s">
        <v>139</v>
      </c>
      <c r="D35" s="8" t="s">
        <v>140</v>
      </c>
      <c r="E35" s="198" t="s">
        <v>37</v>
      </c>
      <c r="F35" s="199">
        <v>751201</v>
      </c>
      <c r="G35" s="199" t="s">
        <v>183</v>
      </c>
      <c r="H35" s="348" t="s">
        <v>2248</v>
      </c>
      <c r="I35" s="200">
        <v>1</v>
      </c>
      <c r="J35" s="198" t="s">
        <v>117</v>
      </c>
      <c r="K35" s="122" t="s">
        <v>943</v>
      </c>
      <c r="L35" s="22"/>
      <c r="M35" s="9"/>
      <c r="N35" s="9"/>
      <c r="O35" s="9"/>
      <c r="P35" s="9"/>
      <c r="Q35" s="9"/>
    </row>
    <row r="36" spans="2:17" customFormat="1" hidden="1">
      <c r="B36" s="120" t="s">
        <v>99</v>
      </c>
      <c r="C36" s="156" t="s">
        <v>139</v>
      </c>
      <c r="D36" s="8" t="s">
        <v>140</v>
      </c>
      <c r="E36" s="198" t="s">
        <v>198</v>
      </c>
      <c r="F36" s="199">
        <v>712618</v>
      </c>
      <c r="G36" s="199" t="s">
        <v>86</v>
      </c>
      <c r="H36" s="120" t="s">
        <v>2413</v>
      </c>
      <c r="I36" s="200">
        <v>1</v>
      </c>
      <c r="J36" s="198" t="s">
        <v>117</v>
      </c>
      <c r="K36" s="122" t="s">
        <v>943</v>
      </c>
      <c r="L36" s="22"/>
      <c r="M36" s="9"/>
      <c r="N36" s="9"/>
      <c r="O36" s="9"/>
      <c r="P36" s="9"/>
      <c r="Q36" s="9"/>
    </row>
    <row r="37" spans="2:17" customFormat="1" hidden="1">
      <c r="B37" s="120" t="s">
        <v>100</v>
      </c>
      <c r="C37" s="156" t="s">
        <v>1436</v>
      </c>
      <c r="D37" s="8" t="s">
        <v>1165</v>
      </c>
      <c r="E37" s="221" t="s">
        <v>74</v>
      </c>
      <c r="F37" s="120">
        <v>723103</v>
      </c>
      <c r="G37" s="206" t="s">
        <v>75</v>
      </c>
      <c r="H37" s="120" t="s">
        <v>1420</v>
      </c>
      <c r="I37" s="137">
        <v>1</v>
      </c>
      <c r="J37" s="141" t="s">
        <v>228</v>
      </c>
      <c r="K37" s="122" t="s">
        <v>104</v>
      </c>
      <c r="L37" s="22"/>
      <c r="M37" s="9"/>
      <c r="N37" s="9"/>
      <c r="O37" s="9"/>
      <c r="P37" s="9"/>
      <c r="Q37" s="9"/>
    </row>
    <row r="38" spans="2:17" ht="60">
      <c r="B38" s="120" t="s">
        <v>118</v>
      </c>
      <c r="C38" s="136" t="s">
        <v>1437</v>
      </c>
      <c r="D38" s="120" t="s">
        <v>111</v>
      </c>
      <c r="E38" s="321" t="s">
        <v>45</v>
      </c>
      <c r="F38" s="183">
        <v>522301</v>
      </c>
      <c r="G38" s="205" t="s">
        <v>43</v>
      </c>
      <c r="H38" s="155" t="s">
        <v>1430</v>
      </c>
      <c r="I38" s="200">
        <v>12</v>
      </c>
      <c r="J38" s="207" t="s">
        <v>116</v>
      </c>
      <c r="K38" s="207" t="s">
        <v>942</v>
      </c>
      <c r="L38" s="22"/>
      <c r="M38" s="195"/>
      <c r="N38" s="195"/>
      <c r="O38" s="195"/>
      <c r="P38" s="195"/>
      <c r="Q38" s="195"/>
    </row>
    <row r="39" spans="2:17" customFormat="1" hidden="1">
      <c r="B39" s="120" t="s">
        <v>119</v>
      </c>
      <c r="C39" s="156" t="s">
        <v>1437</v>
      </c>
      <c r="D39" s="8" t="s">
        <v>111</v>
      </c>
      <c r="E39" s="136" t="s">
        <v>87</v>
      </c>
      <c r="F39" s="219">
        <v>741103</v>
      </c>
      <c r="G39" s="120" t="s">
        <v>54</v>
      </c>
      <c r="H39" s="348" t="s">
        <v>2248</v>
      </c>
      <c r="I39" s="200">
        <v>2</v>
      </c>
      <c r="J39" s="207" t="s">
        <v>117</v>
      </c>
      <c r="K39" s="122" t="s">
        <v>943</v>
      </c>
      <c r="L39" s="25"/>
      <c r="M39" s="9"/>
      <c r="N39" s="9"/>
      <c r="O39" s="9"/>
      <c r="P39" s="9"/>
      <c r="Q39" s="9"/>
    </row>
    <row r="40" spans="2:17" ht="30" hidden="1">
      <c r="B40" s="120" t="s">
        <v>120</v>
      </c>
      <c r="C40" s="136" t="s">
        <v>1437</v>
      </c>
      <c r="D40" s="120" t="s">
        <v>111</v>
      </c>
      <c r="E40" s="136" t="s">
        <v>112</v>
      </c>
      <c r="F40" s="120">
        <v>512001</v>
      </c>
      <c r="G40" s="205" t="s">
        <v>81</v>
      </c>
      <c r="H40" s="155" t="s">
        <v>2256</v>
      </c>
      <c r="I40" s="200">
        <v>4</v>
      </c>
      <c r="J40" s="207" t="s">
        <v>116</v>
      </c>
      <c r="K40" s="207" t="s">
        <v>942</v>
      </c>
      <c r="L40" s="25"/>
      <c r="M40" s="195"/>
      <c r="N40" s="195"/>
      <c r="O40" s="195"/>
      <c r="P40" s="195"/>
      <c r="Q40" s="195"/>
    </row>
    <row r="41" spans="2:17" hidden="1">
      <c r="B41" s="120" t="s">
        <v>121</v>
      </c>
      <c r="C41" s="136" t="s">
        <v>1437</v>
      </c>
      <c r="D41" s="120" t="s">
        <v>111</v>
      </c>
      <c r="E41" s="136" t="s">
        <v>113</v>
      </c>
      <c r="F41" s="120">
        <v>751201</v>
      </c>
      <c r="G41" s="120" t="s">
        <v>183</v>
      </c>
      <c r="H41" s="120" t="s">
        <v>2283</v>
      </c>
      <c r="I41" s="200">
        <v>1</v>
      </c>
      <c r="J41" s="207" t="s">
        <v>116</v>
      </c>
      <c r="K41" s="207" t="s">
        <v>942</v>
      </c>
      <c r="L41" s="25"/>
      <c r="M41" s="195"/>
      <c r="N41" s="195"/>
      <c r="O41" s="195"/>
      <c r="P41" s="195"/>
      <c r="Q41" s="195"/>
    </row>
    <row r="42" spans="2:17" ht="30" hidden="1">
      <c r="B42" s="120" t="s">
        <v>122</v>
      </c>
      <c r="C42" s="136" t="s">
        <v>1437</v>
      </c>
      <c r="D42" s="120" t="s">
        <v>111</v>
      </c>
      <c r="E42" s="136" t="s">
        <v>114</v>
      </c>
      <c r="F42" s="120">
        <v>514101</v>
      </c>
      <c r="G42" s="205" t="s">
        <v>77</v>
      </c>
      <c r="H42" s="155" t="s">
        <v>2284</v>
      </c>
      <c r="I42" s="200">
        <v>4</v>
      </c>
      <c r="J42" s="207" t="s">
        <v>116</v>
      </c>
      <c r="K42" s="207" t="s">
        <v>942</v>
      </c>
      <c r="L42" s="25"/>
      <c r="M42" s="195"/>
      <c r="N42" s="195"/>
      <c r="O42" s="195"/>
      <c r="P42" s="195"/>
      <c r="Q42" s="195"/>
    </row>
    <row r="43" spans="2:17" customFormat="1" hidden="1">
      <c r="B43" s="120" t="s">
        <v>123</v>
      </c>
      <c r="C43" s="156" t="s">
        <v>1437</v>
      </c>
      <c r="D43" s="8" t="s">
        <v>111</v>
      </c>
      <c r="E43" s="198" t="s">
        <v>39</v>
      </c>
      <c r="F43" s="3">
        <v>711204</v>
      </c>
      <c r="G43" s="199" t="s">
        <v>106</v>
      </c>
      <c r="H43" s="120" t="s">
        <v>2396</v>
      </c>
      <c r="I43" s="342">
        <v>3</v>
      </c>
      <c r="J43" s="198" t="s">
        <v>1465</v>
      </c>
      <c r="K43" s="122" t="s">
        <v>105</v>
      </c>
      <c r="L43" s="25"/>
      <c r="M43" s="9"/>
      <c r="N43" s="9"/>
      <c r="O43" s="9"/>
      <c r="P43" s="9"/>
      <c r="Q43" s="9"/>
    </row>
    <row r="44" spans="2:17" ht="45" hidden="1">
      <c r="B44" s="120" t="s">
        <v>124</v>
      </c>
      <c r="C44" s="136" t="s">
        <v>1438</v>
      </c>
      <c r="D44" s="120" t="s">
        <v>231</v>
      </c>
      <c r="E44" s="303" t="s">
        <v>114</v>
      </c>
      <c r="F44" s="199">
        <v>514101</v>
      </c>
      <c r="G44" s="205" t="s">
        <v>77</v>
      </c>
      <c r="H44" s="155" t="s">
        <v>2253</v>
      </c>
      <c r="I44" s="200">
        <v>7</v>
      </c>
      <c r="J44" s="207" t="s">
        <v>116</v>
      </c>
      <c r="K44" s="303" t="s">
        <v>942</v>
      </c>
      <c r="L44" s="25"/>
      <c r="M44" s="195"/>
      <c r="N44" s="195"/>
      <c r="O44" s="195"/>
      <c r="P44" s="195"/>
      <c r="Q44" s="195"/>
    </row>
    <row r="45" spans="2:17" ht="30" hidden="1">
      <c r="B45" s="120" t="s">
        <v>125</v>
      </c>
      <c r="C45" s="136" t="s">
        <v>1438</v>
      </c>
      <c r="D45" s="120" t="s">
        <v>231</v>
      </c>
      <c r="E45" s="303" t="s">
        <v>80</v>
      </c>
      <c r="F45" s="199">
        <v>512001</v>
      </c>
      <c r="G45" s="205" t="s">
        <v>81</v>
      </c>
      <c r="H45" s="155" t="s">
        <v>2256</v>
      </c>
      <c r="I45" s="200">
        <v>5</v>
      </c>
      <c r="J45" s="207" t="s">
        <v>116</v>
      </c>
      <c r="K45" s="303" t="s">
        <v>942</v>
      </c>
      <c r="L45" s="25"/>
      <c r="M45" s="195"/>
      <c r="N45" s="195"/>
      <c r="O45" s="195"/>
      <c r="P45" s="195"/>
      <c r="Q45" s="195"/>
    </row>
    <row r="46" spans="2:17" ht="60">
      <c r="B46" s="120" t="s">
        <v>126</v>
      </c>
      <c r="C46" s="136" t="s">
        <v>1438</v>
      </c>
      <c r="D46" s="120" t="s">
        <v>231</v>
      </c>
      <c r="E46" s="321" t="s">
        <v>45</v>
      </c>
      <c r="F46" s="199">
        <v>522301</v>
      </c>
      <c r="G46" s="205" t="s">
        <v>43</v>
      </c>
      <c r="H46" s="155" t="s">
        <v>2340</v>
      </c>
      <c r="I46" s="200">
        <v>13</v>
      </c>
      <c r="J46" s="207" t="s">
        <v>116</v>
      </c>
      <c r="K46" s="303" t="s">
        <v>942</v>
      </c>
      <c r="L46" s="182"/>
      <c r="M46" s="195"/>
      <c r="N46" s="195"/>
      <c r="O46" s="195"/>
      <c r="P46" s="195"/>
      <c r="Q46" s="195"/>
    </row>
    <row r="47" spans="2:17" hidden="1">
      <c r="B47" s="120" t="s">
        <v>127</v>
      </c>
      <c r="C47" s="136" t="s">
        <v>1438</v>
      </c>
      <c r="D47" s="120" t="s">
        <v>231</v>
      </c>
      <c r="E47" s="303" t="s">
        <v>215</v>
      </c>
      <c r="F47" s="199">
        <v>751201</v>
      </c>
      <c r="G47" s="199" t="s">
        <v>183</v>
      </c>
      <c r="H47" s="120" t="s">
        <v>2283</v>
      </c>
      <c r="I47" s="200">
        <v>1</v>
      </c>
      <c r="J47" s="207" t="s">
        <v>116</v>
      </c>
      <c r="K47" s="303" t="s">
        <v>942</v>
      </c>
      <c r="L47" s="25"/>
      <c r="M47" s="195"/>
      <c r="N47" s="195"/>
      <c r="O47" s="195"/>
      <c r="P47" s="195"/>
      <c r="Q47" s="195"/>
    </row>
    <row r="48" spans="2:17" customFormat="1" hidden="1">
      <c r="B48" s="120" t="s">
        <v>128</v>
      </c>
      <c r="C48" s="156" t="s">
        <v>1438</v>
      </c>
      <c r="D48" s="8" t="s">
        <v>231</v>
      </c>
      <c r="E48" s="198" t="s">
        <v>217</v>
      </c>
      <c r="F48" s="199">
        <v>722204</v>
      </c>
      <c r="G48" s="199" t="s">
        <v>185</v>
      </c>
      <c r="H48" s="348" t="s">
        <v>1350</v>
      </c>
      <c r="I48" s="200">
        <v>2</v>
      </c>
      <c r="J48" s="198" t="s">
        <v>1465</v>
      </c>
      <c r="K48" s="198" t="s">
        <v>105</v>
      </c>
      <c r="L48" s="25"/>
      <c r="M48" s="9"/>
      <c r="N48" s="9"/>
      <c r="O48" s="9"/>
      <c r="P48" s="9"/>
      <c r="Q48" s="9"/>
    </row>
    <row r="49" spans="2:17" customFormat="1" hidden="1">
      <c r="B49" s="120" t="s">
        <v>129</v>
      </c>
      <c r="C49" s="156" t="s">
        <v>1438</v>
      </c>
      <c r="D49" s="8" t="s">
        <v>231</v>
      </c>
      <c r="E49" s="198" t="s">
        <v>91</v>
      </c>
      <c r="F49" s="199">
        <v>752205</v>
      </c>
      <c r="G49" s="199" t="s">
        <v>69</v>
      </c>
      <c r="H49" s="120" t="s">
        <v>1348</v>
      </c>
      <c r="I49" s="200">
        <v>1</v>
      </c>
      <c r="J49" s="198" t="s">
        <v>1465</v>
      </c>
      <c r="K49" s="208" t="s">
        <v>105</v>
      </c>
      <c r="L49" s="25"/>
      <c r="M49" s="9"/>
      <c r="N49" s="9"/>
      <c r="O49" s="9"/>
      <c r="P49" s="9"/>
      <c r="Q49" s="9"/>
    </row>
    <row r="50" spans="2:17" customFormat="1" hidden="1">
      <c r="B50" s="120" t="s">
        <v>130</v>
      </c>
      <c r="C50" s="156" t="s">
        <v>1438</v>
      </c>
      <c r="D50" s="8" t="s">
        <v>231</v>
      </c>
      <c r="E50" s="198" t="s">
        <v>74</v>
      </c>
      <c r="F50" s="199">
        <v>723103</v>
      </c>
      <c r="G50" s="199" t="s">
        <v>75</v>
      </c>
      <c r="H50" s="120" t="s">
        <v>1413</v>
      </c>
      <c r="I50" s="200">
        <v>4</v>
      </c>
      <c r="J50" s="161" t="s">
        <v>566</v>
      </c>
      <c r="K50" s="198" t="s">
        <v>579</v>
      </c>
      <c r="L50" s="25"/>
      <c r="M50" s="9"/>
      <c r="N50" s="9"/>
      <c r="O50" s="9"/>
      <c r="P50" s="9"/>
      <c r="Q50" s="9"/>
    </row>
    <row r="51" spans="2:17" customFormat="1" hidden="1">
      <c r="B51" s="120" t="s">
        <v>131</v>
      </c>
      <c r="C51" s="156" t="s">
        <v>1438</v>
      </c>
      <c r="D51" s="8" t="s">
        <v>231</v>
      </c>
      <c r="E51" s="198" t="s">
        <v>103</v>
      </c>
      <c r="F51" s="199">
        <v>722307</v>
      </c>
      <c r="G51" s="199" t="s">
        <v>83</v>
      </c>
      <c r="H51" s="348" t="s">
        <v>1350</v>
      </c>
      <c r="I51" s="200">
        <v>4</v>
      </c>
      <c r="J51" s="198" t="s">
        <v>1465</v>
      </c>
      <c r="K51" s="198" t="s">
        <v>105</v>
      </c>
      <c r="L51" s="25"/>
      <c r="M51" s="9"/>
      <c r="N51" s="9"/>
      <c r="O51" s="9"/>
      <c r="P51" s="9"/>
      <c r="Q51" s="9"/>
    </row>
    <row r="52" spans="2:17" customFormat="1" hidden="1">
      <c r="B52" s="120" t="s">
        <v>132</v>
      </c>
      <c r="C52" s="156" t="s">
        <v>1438</v>
      </c>
      <c r="D52" s="8" t="s">
        <v>231</v>
      </c>
      <c r="E52" s="136" t="s">
        <v>87</v>
      </c>
      <c r="F52" s="199">
        <v>741103</v>
      </c>
      <c r="G52" s="199" t="s">
        <v>54</v>
      </c>
      <c r="H52" s="120" t="s">
        <v>1350</v>
      </c>
      <c r="I52" s="200">
        <v>2</v>
      </c>
      <c r="J52" s="198" t="s">
        <v>1465</v>
      </c>
      <c r="K52" s="198" t="s">
        <v>105</v>
      </c>
      <c r="L52" s="25"/>
      <c r="M52" s="9"/>
      <c r="N52" s="9"/>
      <c r="O52" s="9"/>
      <c r="P52" s="9"/>
      <c r="Q52" s="9"/>
    </row>
    <row r="53" spans="2:17" customFormat="1" hidden="1">
      <c r="B53" s="120" t="s">
        <v>133</v>
      </c>
      <c r="C53" s="156" t="s">
        <v>1438</v>
      </c>
      <c r="D53" s="8" t="s">
        <v>231</v>
      </c>
      <c r="E53" s="243" t="s">
        <v>56</v>
      </c>
      <c r="F53" s="199">
        <v>712905</v>
      </c>
      <c r="G53" s="199" t="s">
        <v>67</v>
      </c>
      <c r="H53" s="120"/>
      <c r="I53" s="342">
        <v>1</v>
      </c>
      <c r="J53" s="141" t="s">
        <v>61</v>
      </c>
      <c r="K53" s="122" t="s">
        <v>851</v>
      </c>
      <c r="L53" s="25"/>
      <c r="M53" s="9"/>
      <c r="N53" s="9"/>
      <c r="O53" s="9"/>
      <c r="P53" s="9"/>
      <c r="Q53" s="9"/>
    </row>
    <row r="54" spans="2:17" ht="60">
      <c r="B54" s="120" t="s">
        <v>134</v>
      </c>
      <c r="C54" s="207" t="s">
        <v>1439</v>
      </c>
      <c r="D54" s="120" t="s">
        <v>523</v>
      </c>
      <c r="E54" s="321" t="s">
        <v>45</v>
      </c>
      <c r="F54" s="199">
        <v>522301</v>
      </c>
      <c r="G54" s="205" t="s">
        <v>43</v>
      </c>
      <c r="H54" s="155" t="s">
        <v>1430</v>
      </c>
      <c r="I54" s="137">
        <v>24</v>
      </c>
      <c r="J54" s="278" t="s">
        <v>116</v>
      </c>
      <c r="K54" s="207" t="s">
        <v>942</v>
      </c>
      <c r="L54" s="25"/>
      <c r="M54" s="195"/>
      <c r="N54" s="195"/>
      <c r="O54" s="195"/>
      <c r="P54" s="195"/>
      <c r="Q54" s="195"/>
    </row>
    <row r="55" spans="2:17" ht="45" hidden="1">
      <c r="B55" s="120" t="s">
        <v>135</v>
      </c>
      <c r="C55" s="207" t="s">
        <v>1439</v>
      </c>
      <c r="D55" s="120" t="s">
        <v>523</v>
      </c>
      <c r="E55" s="303" t="s">
        <v>36</v>
      </c>
      <c r="F55" s="199">
        <v>514101</v>
      </c>
      <c r="G55" s="205" t="s">
        <v>77</v>
      </c>
      <c r="H55" s="155" t="s">
        <v>2253</v>
      </c>
      <c r="I55" s="137">
        <v>5</v>
      </c>
      <c r="J55" s="278" t="s">
        <v>116</v>
      </c>
      <c r="K55" s="207" t="s">
        <v>942</v>
      </c>
      <c r="L55" s="25"/>
      <c r="M55" s="195"/>
      <c r="N55" s="195"/>
      <c r="O55" s="195"/>
      <c r="P55" s="195"/>
      <c r="Q55" s="195"/>
    </row>
    <row r="56" spans="2:17" ht="30" hidden="1">
      <c r="B56" s="120" t="s">
        <v>136</v>
      </c>
      <c r="C56" s="207" t="s">
        <v>1439</v>
      </c>
      <c r="D56" s="120" t="s">
        <v>523</v>
      </c>
      <c r="E56" s="303" t="s">
        <v>44</v>
      </c>
      <c r="F56" s="199">
        <v>512001</v>
      </c>
      <c r="G56" s="205" t="s">
        <v>81</v>
      </c>
      <c r="H56" s="155" t="s">
        <v>2256</v>
      </c>
      <c r="I56" s="135">
        <v>6</v>
      </c>
      <c r="J56" s="278" t="s">
        <v>116</v>
      </c>
      <c r="K56" s="207" t="s">
        <v>942</v>
      </c>
      <c r="L56" s="25"/>
      <c r="M56" s="195"/>
      <c r="N56" s="195"/>
      <c r="O56" s="195"/>
      <c r="P56" s="195"/>
      <c r="Q56" s="195"/>
    </row>
    <row r="57" spans="2:17" hidden="1">
      <c r="B57" s="120" t="s">
        <v>145</v>
      </c>
      <c r="C57" s="207" t="s">
        <v>1439</v>
      </c>
      <c r="D57" s="120" t="s">
        <v>523</v>
      </c>
      <c r="E57" s="303" t="s">
        <v>57</v>
      </c>
      <c r="F57" s="199">
        <v>751204</v>
      </c>
      <c r="G57" s="199" t="s">
        <v>68</v>
      </c>
      <c r="H57" s="120" t="s">
        <v>1421</v>
      </c>
      <c r="I57" s="135">
        <v>1</v>
      </c>
      <c r="J57" s="278" t="s">
        <v>116</v>
      </c>
      <c r="K57" s="207" t="s">
        <v>942</v>
      </c>
      <c r="L57" s="25"/>
      <c r="M57" s="195"/>
      <c r="N57" s="195"/>
      <c r="O57" s="195"/>
      <c r="P57" s="195"/>
      <c r="Q57" s="195"/>
    </row>
    <row r="58" spans="2:17" hidden="1">
      <c r="B58" s="120" t="s">
        <v>146</v>
      </c>
      <c r="C58" s="207" t="s">
        <v>1439</v>
      </c>
      <c r="D58" s="120" t="s">
        <v>523</v>
      </c>
      <c r="E58" s="303" t="s">
        <v>37</v>
      </c>
      <c r="F58" s="199">
        <v>751201</v>
      </c>
      <c r="G58" s="199" t="s">
        <v>183</v>
      </c>
      <c r="H58" s="120" t="s">
        <v>1413</v>
      </c>
      <c r="I58" s="135">
        <v>1</v>
      </c>
      <c r="J58" s="278" t="s">
        <v>116</v>
      </c>
      <c r="K58" s="207" t="s">
        <v>942</v>
      </c>
      <c r="L58" s="25"/>
      <c r="M58" s="195"/>
      <c r="N58" s="195"/>
      <c r="O58" s="195"/>
      <c r="P58" s="195"/>
      <c r="Q58" s="195"/>
    </row>
    <row r="59" spans="2:17" customFormat="1" hidden="1">
      <c r="B59" s="120" t="s">
        <v>147</v>
      </c>
      <c r="C59" s="122" t="s">
        <v>1439</v>
      </c>
      <c r="D59" s="8" t="s">
        <v>523</v>
      </c>
      <c r="E59" s="198" t="s">
        <v>34</v>
      </c>
      <c r="F59" s="199">
        <v>723103</v>
      </c>
      <c r="G59" s="199" t="s">
        <v>75</v>
      </c>
      <c r="H59" s="120" t="s">
        <v>2396</v>
      </c>
      <c r="I59" s="135">
        <v>15</v>
      </c>
      <c r="J59" s="198" t="s">
        <v>1465</v>
      </c>
      <c r="K59" s="122" t="s">
        <v>105</v>
      </c>
      <c r="L59" s="25"/>
      <c r="M59" s="9"/>
      <c r="N59" s="9"/>
      <c r="O59" s="9"/>
      <c r="P59" s="9"/>
      <c r="Q59" s="9"/>
    </row>
    <row r="60" spans="2:17" customFormat="1" hidden="1">
      <c r="B60" s="120" t="s">
        <v>148</v>
      </c>
      <c r="C60" s="122" t="s">
        <v>1439</v>
      </c>
      <c r="D60" s="8" t="s">
        <v>523</v>
      </c>
      <c r="E60" s="198" t="s">
        <v>103</v>
      </c>
      <c r="F60" s="199">
        <v>722307</v>
      </c>
      <c r="G60" s="199" t="s">
        <v>83</v>
      </c>
      <c r="H60" s="348" t="s">
        <v>1350</v>
      </c>
      <c r="I60" s="137">
        <v>6</v>
      </c>
      <c r="J60" s="198" t="s">
        <v>1465</v>
      </c>
      <c r="K60" s="122" t="s">
        <v>105</v>
      </c>
      <c r="L60" s="25"/>
      <c r="M60" s="9"/>
      <c r="N60" s="9"/>
      <c r="O60" s="9"/>
      <c r="P60" s="9"/>
      <c r="Q60" s="9"/>
    </row>
    <row r="61" spans="2:17" customFormat="1" hidden="1">
      <c r="B61" s="120" t="s">
        <v>149</v>
      </c>
      <c r="C61" s="122" t="s">
        <v>1439</v>
      </c>
      <c r="D61" s="8" t="s">
        <v>523</v>
      </c>
      <c r="E61" s="198" t="s">
        <v>39</v>
      </c>
      <c r="F61" s="199">
        <v>711204</v>
      </c>
      <c r="G61" s="199" t="s">
        <v>106</v>
      </c>
      <c r="H61" s="120" t="s">
        <v>2396</v>
      </c>
      <c r="I61" s="137">
        <v>1</v>
      </c>
      <c r="J61" s="198" t="s">
        <v>1465</v>
      </c>
      <c r="K61" s="122" t="s">
        <v>105</v>
      </c>
      <c r="L61" s="25"/>
      <c r="M61" s="9"/>
      <c r="N61" s="9"/>
      <c r="O61" s="9"/>
      <c r="P61" s="9"/>
      <c r="Q61" s="9"/>
    </row>
    <row r="62" spans="2:17" customFormat="1" hidden="1">
      <c r="B62" s="120" t="s">
        <v>150</v>
      </c>
      <c r="C62" s="122" t="s">
        <v>1439</v>
      </c>
      <c r="D62" s="8" t="s">
        <v>523</v>
      </c>
      <c r="E62" s="243" t="s">
        <v>1440</v>
      </c>
      <c r="F62" s="199">
        <v>712101</v>
      </c>
      <c r="G62" s="199" t="s">
        <v>184</v>
      </c>
      <c r="H62" s="158" t="s">
        <v>2346</v>
      </c>
      <c r="I62" s="137">
        <v>1</v>
      </c>
      <c r="J62" s="141" t="s">
        <v>547</v>
      </c>
      <c r="K62" s="221" t="s">
        <v>41</v>
      </c>
      <c r="L62" s="25"/>
      <c r="M62" s="9"/>
      <c r="N62" s="9"/>
      <c r="O62" s="9"/>
      <c r="P62" s="9"/>
      <c r="Q62" s="9"/>
    </row>
    <row r="63" spans="2:17" customFormat="1" hidden="1">
      <c r="B63" s="120" t="s">
        <v>151</v>
      </c>
      <c r="C63" s="122" t="s">
        <v>1439</v>
      </c>
      <c r="D63" s="8" t="s">
        <v>523</v>
      </c>
      <c r="E63" s="243" t="s">
        <v>56</v>
      </c>
      <c r="F63" s="199">
        <v>712905</v>
      </c>
      <c r="G63" s="199" t="s">
        <v>67</v>
      </c>
      <c r="H63" s="158" t="s">
        <v>1320</v>
      </c>
      <c r="I63" s="137">
        <v>1</v>
      </c>
      <c r="J63" s="141" t="s">
        <v>547</v>
      </c>
      <c r="K63" s="221" t="s">
        <v>41</v>
      </c>
      <c r="L63" s="25"/>
      <c r="M63" s="9"/>
      <c r="N63" s="9"/>
      <c r="O63" s="9"/>
      <c r="P63" s="9"/>
      <c r="Q63" s="9"/>
    </row>
    <row r="64" spans="2:17" hidden="1">
      <c r="B64" s="120" t="s">
        <v>152</v>
      </c>
      <c r="C64" s="207" t="s">
        <v>1441</v>
      </c>
      <c r="D64" s="120" t="s">
        <v>253</v>
      </c>
      <c r="E64" s="304" t="s">
        <v>239</v>
      </c>
      <c r="F64" s="199">
        <v>741201</v>
      </c>
      <c r="G64" s="199" t="s">
        <v>182</v>
      </c>
      <c r="H64" s="115"/>
      <c r="I64" s="364">
        <v>2</v>
      </c>
      <c r="J64" s="278" t="s">
        <v>116</v>
      </c>
      <c r="K64" s="345" t="s">
        <v>851</v>
      </c>
      <c r="L64" s="25"/>
      <c r="M64" s="195"/>
      <c r="N64" s="195"/>
      <c r="O64" s="195"/>
      <c r="P64" s="195"/>
      <c r="Q64" s="195"/>
    </row>
    <row r="65" spans="2:17" customFormat="1" hidden="1">
      <c r="B65" s="120" t="s">
        <v>153</v>
      </c>
      <c r="C65" s="122" t="s">
        <v>1441</v>
      </c>
      <c r="D65" s="8" t="s">
        <v>253</v>
      </c>
      <c r="E65" s="244" t="s">
        <v>595</v>
      </c>
      <c r="F65" s="199">
        <v>711301</v>
      </c>
      <c r="G65" s="199" t="s">
        <v>537</v>
      </c>
      <c r="H65" s="120" t="s">
        <v>1324</v>
      </c>
      <c r="I65" s="210">
        <v>1</v>
      </c>
      <c r="J65" s="141" t="s">
        <v>547</v>
      </c>
      <c r="K65" s="242" t="s">
        <v>41</v>
      </c>
      <c r="L65" s="25"/>
      <c r="M65" s="9"/>
      <c r="N65" s="9"/>
      <c r="O65" s="9"/>
      <c r="P65" s="9"/>
      <c r="Q65" s="9"/>
    </row>
    <row r="66" spans="2:17" ht="45" hidden="1">
      <c r="B66" s="120" t="s">
        <v>154</v>
      </c>
      <c r="C66" s="207" t="s">
        <v>1441</v>
      </c>
      <c r="D66" s="120" t="s">
        <v>253</v>
      </c>
      <c r="E66" s="304" t="s">
        <v>114</v>
      </c>
      <c r="F66" s="199">
        <v>514101</v>
      </c>
      <c r="G66" s="205" t="s">
        <v>77</v>
      </c>
      <c r="H66" s="155" t="s">
        <v>2253</v>
      </c>
      <c r="I66" s="305">
        <v>13</v>
      </c>
      <c r="J66" s="278" t="s">
        <v>116</v>
      </c>
      <c r="K66" s="207" t="s">
        <v>942</v>
      </c>
      <c r="L66" s="25"/>
      <c r="M66" s="195"/>
      <c r="N66" s="195"/>
      <c r="O66" s="195"/>
      <c r="P66" s="195"/>
      <c r="Q66" s="195"/>
    </row>
    <row r="67" spans="2:17" ht="30" hidden="1">
      <c r="B67" s="120" t="s">
        <v>155</v>
      </c>
      <c r="C67" s="207" t="s">
        <v>1441</v>
      </c>
      <c r="D67" s="120" t="s">
        <v>253</v>
      </c>
      <c r="E67" s="304" t="s">
        <v>215</v>
      </c>
      <c r="F67" s="199">
        <v>514101</v>
      </c>
      <c r="G67" s="205" t="s">
        <v>77</v>
      </c>
      <c r="H67" s="350" t="s">
        <v>2285</v>
      </c>
      <c r="I67" s="305">
        <v>5</v>
      </c>
      <c r="J67" s="278" t="s">
        <v>116</v>
      </c>
      <c r="K67" s="207" t="s">
        <v>942</v>
      </c>
      <c r="L67" s="25"/>
      <c r="M67" s="195"/>
      <c r="N67" s="195"/>
      <c r="O67" s="195"/>
      <c r="P67" s="195"/>
      <c r="Q67" s="195"/>
    </row>
    <row r="68" spans="2:17" hidden="1">
      <c r="B68" s="120" t="s">
        <v>156</v>
      </c>
      <c r="C68" s="207" t="s">
        <v>1441</v>
      </c>
      <c r="D68" s="120" t="s">
        <v>253</v>
      </c>
      <c r="E68" s="303" t="s">
        <v>57</v>
      </c>
      <c r="F68" s="199">
        <v>751204</v>
      </c>
      <c r="G68" s="199" t="s">
        <v>68</v>
      </c>
      <c r="H68" s="115" t="s">
        <v>1421</v>
      </c>
      <c r="I68" s="305">
        <v>3</v>
      </c>
      <c r="J68" s="278" t="s">
        <v>116</v>
      </c>
      <c r="K68" s="207" t="s">
        <v>942</v>
      </c>
      <c r="L68" s="25"/>
      <c r="M68" s="195"/>
      <c r="N68" s="195"/>
      <c r="O68" s="195"/>
      <c r="P68" s="195"/>
      <c r="Q68" s="195"/>
    </row>
    <row r="69" spans="2:17" hidden="1">
      <c r="B69" s="120" t="s">
        <v>157</v>
      </c>
      <c r="C69" s="207" t="s">
        <v>1441</v>
      </c>
      <c r="D69" s="120" t="s">
        <v>253</v>
      </c>
      <c r="E69" s="136" t="s">
        <v>87</v>
      </c>
      <c r="F69" s="199">
        <v>741103</v>
      </c>
      <c r="G69" s="199" t="s">
        <v>54</v>
      </c>
      <c r="H69" s="120" t="s">
        <v>1350</v>
      </c>
      <c r="I69" s="364">
        <v>2</v>
      </c>
      <c r="J69" s="198" t="s">
        <v>1465</v>
      </c>
      <c r="K69" s="207" t="s">
        <v>105</v>
      </c>
      <c r="L69" s="25"/>
      <c r="M69" s="195"/>
      <c r="N69" s="195"/>
      <c r="O69" s="195"/>
      <c r="P69" s="195"/>
      <c r="Q69" s="195"/>
    </row>
    <row r="70" spans="2:17" customFormat="1" hidden="1">
      <c r="B70" s="120" t="s">
        <v>158</v>
      </c>
      <c r="C70" s="122" t="s">
        <v>1441</v>
      </c>
      <c r="D70" s="8" t="s">
        <v>253</v>
      </c>
      <c r="E70" s="198" t="s">
        <v>198</v>
      </c>
      <c r="F70" s="199">
        <v>712618</v>
      </c>
      <c r="G70" s="199" t="s">
        <v>86</v>
      </c>
      <c r="H70" s="115" t="s">
        <v>1348</v>
      </c>
      <c r="I70" s="210">
        <v>2</v>
      </c>
      <c r="J70" s="198" t="s">
        <v>1465</v>
      </c>
      <c r="K70" s="121" t="s">
        <v>105</v>
      </c>
      <c r="L70" s="25"/>
      <c r="M70" s="9"/>
      <c r="N70" s="9"/>
      <c r="O70" s="9"/>
      <c r="P70" s="9"/>
      <c r="Q70" s="9"/>
    </row>
    <row r="71" spans="2:17" customFormat="1" hidden="1">
      <c r="B71" s="120" t="s">
        <v>159</v>
      </c>
      <c r="C71" s="122" t="s">
        <v>1441</v>
      </c>
      <c r="D71" s="8" t="s">
        <v>253</v>
      </c>
      <c r="E71" s="209" t="s">
        <v>91</v>
      </c>
      <c r="F71" s="199">
        <v>752205</v>
      </c>
      <c r="G71" s="199" t="s">
        <v>69</v>
      </c>
      <c r="H71" s="120" t="s">
        <v>1348</v>
      </c>
      <c r="I71" s="210">
        <v>2</v>
      </c>
      <c r="J71" s="198" t="s">
        <v>1465</v>
      </c>
      <c r="K71" s="122" t="s">
        <v>105</v>
      </c>
      <c r="L71" s="25"/>
      <c r="M71" s="9"/>
      <c r="N71" s="9"/>
      <c r="O71" s="9"/>
      <c r="P71" s="9"/>
      <c r="Q71" s="9"/>
    </row>
    <row r="72" spans="2:17" customFormat="1" hidden="1">
      <c r="B72" s="120" t="s">
        <v>160</v>
      </c>
      <c r="C72" s="122" t="s">
        <v>1441</v>
      </c>
      <c r="D72" s="8" t="s">
        <v>253</v>
      </c>
      <c r="E72" s="243" t="s">
        <v>56</v>
      </c>
      <c r="F72" s="199">
        <v>712905</v>
      </c>
      <c r="G72" s="199" t="s">
        <v>67</v>
      </c>
      <c r="H72" s="158" t="s">
        <v>1320</v>
      </c>
      <c r="I72" s="210">
        <v>1</v>
      </c>
      <c r="J72" s="141" t="s">
        <v>547</v>
      </c>
      <c r="K72" s="242" t="s">
        <v>41</v>
      </c>
      <c r="L72" s="25"/>
      <c r="M72" s="9"/>
      <c r="N72" s="9"/>
      <c r="O72" s="9"/>
      <c r="P72" s="9"/>
      <c r="Q72" s="9"/>
    </row>
    <row r="73" spans="2:17" ht="60">
      <c r="B73" s="120" t="s">
        <v>161</v>
      </c>
      <c r="C73" s="207" t="s">
        <v>1441</v>
      </c>
      <c r="D73" s="120" t="s">
        <v>253</v>
      </c>
      <c r="E73" s="321" t="s">
        <v>45</v>
      </c>
      <c r="F73" s="199">
        <v>522301</v>
      </c>
      <c r="G73" s="205" t="s">
        <v>43</v>
      </c>
      <c r="H73" s="155" t="s">
        <v>1430</v>
      </c>
      <c r="I73" s="305">
        <v>12</v>
      </c>
      <c r="J73" s="278" t="s">
        <v>116</v>
      </c>
      <c r="K73" s="207" t="s">
        <v>942</v>
      </c>
      <c r="L73" s="25"/>
      <c r="M73" s="195"/>
      <c r="N73" s="195"/>
      <c r="O73" s="195"/>
      <c r="P73" s="195"/>
      <c r="Q73" s="195"/>
    </row>
    <row r="74" spans="2:17" hidden="1">
      <c r="B74" s="120" t="s">
        <v>162</v>
      </c>
      <c r="C74" s="207" t="s">
        <v>1441</v>
      </c>
      <c r="D74" s="120" t="s">
        <v>253</v>
      </c>
      <c r="E74" s="198" t="s">
        <v>103</v>
      </c>
      <c r="F74" s="199">
        <v>722307</v>
      </c>
      <c r="G74" s="199" t="s">
        <v>83</v>
      </c>
      <c r="H74" s="348" t="s">
        <v>2396</v>
      </c>
      <c r="I74" s="364">
        <v>4</v>
      </c>
      <c r="J74" s="198" t="s">
        <v>1465</v>
      </c>
      <c r="K74" s="207" t="s">
        <v>105</v>
      </c>
      <c r="L74" s="25"/>
      <c r="M74" s="195"/>
      <c r="N74" s="195"/>
      <c r="O74" s="195"/>
      <c r="P74" s="195"/>
      <c r="Q74" s="195"/>
    </row>
    <row r="75" spans="2:17" customFormat="1" hidden="1">
      <c r="B75" s="120" t="s">
        <v>163</v>
      </c>
      <c r="C75" s="122" t="s">
        <v>562</v>
      </c>
      <c r="D75" s="8" t="s">
        <v>192</v>
      </c>
      <c r="E75" s="198" t="s">
        <v>36</v>
      </c>
      <c r="F75" s="199">
        <v>514101</v>
      </c>
      <c r="G75" s="205" t="s">
        <v>77</v>
      </c>
      <c r="H75" s="120" t="s">
        <v>1350</v>
      </c>
      <c r="I75" s="200">
        <v>1</v>
      </c>
      <c r="J75" s="198" t="s">
        <v>1465</v>
      </c>
      <c r="K75" s="122" t="s">
        <v>105</v>
      </c>
      <c r="L75" s="25"/>
      <c r="M75" s="9"/>
      <c r="N75" s="9"/>
      <c r="O75" s="9"/>
      <c r="P75" s="9"/>
      <c r="Q75" s="9"/>
    </row>
    <row r="76" spans="2:17" customFormat="1" hidden="1">
      <c r="B76" s="120" t="s">
        <v>164</v>
      </c>
      <c r="C76" s="122" t="s">
        <v>562</v>
      </c>
      <c r="D76" s="8" t="s">
        <v>192</v>
      </c>
      <c r="E76" s="198" t="s">
        <v>34</v>
      </c>
      <c r="F76" s="199">
        <v>723103</v>
      </c>
      <c r="G76" s="206" t="s">
        <v>75</v>
      </c>
      <c r="H76" s="158" t="s">
        <v>1350</v>
      </c>
      <c r="I76" s="200">
        <v>8</v>
      </c>
      <c r="J76" s="198" t="s">
        <v>1465</v>
      </c>
      <c r="K76" s="122" t="s">
        <v>105</v>
      </c>
      <c r="L76" s="25"/>
      <c r="M76" s="9"/>
      <c r="N76" s="9"/>
      <c r="O76" s="9"/>
      <c r="P76" s="9"/>
      <c r="Q76" s="9"/>
    </row>
    <row r="77" spans="2:17" customFormat="1">
      <c r="B77" s="120" t="s">
        <v>165</v>
      </c>
      <c r="C77" s="122" t="s">
        <v>562</v>
      </c>
      <c r="D77" s="8" t="s">
        <v>192</v>
      </c>
      <c r="E77" s="321" t="s">
        <v>45</v>
      </c>
      <c r="F77" s="199">
        <v>522301</v>
      </c>
      <c r="G77" s="205" t="s">
        <v>43</v>
      </c>
      <c r="H77" s="120" t="s">
        <v>1349</v>
      </c>
      <c r="I77" s="200">
        <v>7</v>
      </c>
      <c r="J77" s="198" t="s">
        <v>1465</v>
      </c>
      <c r="K77" s="122" t="s">
        <v>105</v>
      </c>
      <c r="L77" s="25"/>
      <c r="M77" s="9"/>
      <c r="N77" s="9"/>
      <c r="O77" s="9"/>
      <c r="P77" s="9"/>
      <c r="Q77" s="9"/>
    </row>
    <row r="78" spans="2:17" customFormat="1" hidden="1">
      <c r="B78" s="120" t="s">
        <v>166</v>
      </c>
      <c r="C78" s="122" t="s">
        <v>562</v>
      </c>
      <c r="D78" s="8" t="s">
        <v>192</v>
      </c>
      <c r="E78" s="198" t="s">
        <v>103</v>
      </c>
      <c r="F78" s="199">
        <v>722307</v>
      </c>
      <c r="G78" s="206" t="s">
        <v>83</v>
      </c>
      <c r="H78" s="348" t="s">
        <v>1350</v>
      </c>
      <c r="I78" s="200">
        <v>2</v>
      </c>
      <c r="J78" s="198" t="s">
        <v>1465</v>
      </c>
      <c r="K78" s="122" t="s">
        <v>105</v>
      </c>
      <c r="L78" s="25"/>
      <c r="M78" s="9"/>
      <c r="N78" s="9"/>
      <c r="O78" s="9"/>
      <c r="P78" s="9"/>
      <c r="Q78" s="9"/>
    </row>
    <row r="79" spans="2:17" customFormat="1" hidden="1">
      <c r="B79" s="120" t="s">
        <v>167</v>
      </c>
      <c r="C79" s="122" t="s">
        <v>562</v>
      </c>
      <c r="D79" s="8" t="s">
        <v>192</v>
      </c>
      <c r="E79" s="198" t="s">
        <v>44</v>
      </c>
      <c r="F79" s="199">
        <v>512001</v>
      </c>
      <c r="G79" s="205" t="s">
        <v>81</v>
      </c>
      <c r="H79" s="120" t="s">
        <v>1350</v>
      </c>
      <c r="I79" s="200">
        <v>2</v>
      </c>
      <c r="J79" s="198" t="s">
        <v>1465</v>
      </c>
      <c r="K79" s="122" t="s">
        <v>105</v>
      </c>
      <c r="L79" s="25"/>
      <c r="M79" s="9"/>
      <c r="N79" s="9"/>
      <c r="O79" s="9"/>
      <c r="P79" s="9"/>
      <c r="Q79" s="9"/>
    </row>
    <row r="80" spans="2:17" customFormat="1" hidden="1">
      <c r="B80" s="120" t="s">
        <v>168</v>
      </c>
      <c r="C80" s="122" t="s">
        <v>562</v>
      </c>
      <c r="D80" s="8" t="s">
        <v>192</v>
      </c>
      <c r="E80" s="198" t="s">
        <v>33</v>
      </c>
      <c r="F80" s="199">
        <v>752205</v>
      </c>
      <c r="G80" s="206" t="s">
        <v>69</v>
      </c>
      <c r="H80" s="120" t="s">
        <v>1348</v>
      </c>
      <c r="I80" s="200">
        <v>1</v>
      </c>
      <c r="J80" s="198" t="s">
        <v>1465</v>
      </c>
      <c r="K80" s="122" t="s">
        <v>105</v>
      </c>
      <c r="L80" s="25"/>
      <c r="M80" s="9"/>
      <c r="N80" s="9"/>
      <c r="O80" s="9"/>
      <c r="P80" s="9"/>
      <c r="Q80" s="9"/>
    </row>
    <row r="81" spans="2:17" customFormat="1" hidden="1">
      <c r="B81" s="120" t="s">
        <v>169</v>
      </c>
      <c r="C81" s="122" t="s">
        <v>562</v>
      </c>
      <c r="D81" s="8" t="s">
        <v>192</v>
      </c>
      <c r="E81" s="198" t="s">
        <v>198</v>
      </c>
      <c r="F81" s="199">
        <v>712618</v>
      </c>
      <c r="G81" s="211" t="s">
        <v>86</v>
      </c>
      <c r="H81" s="115" t="s">
        <v>1348</v>
      </c>
      <c r="I81" s="200">
        <v>1</v>
      </c>
      <c r="J81" s="198" t="s">
        <v>1465</v>
      </c>
      <c r="K81" s="122" t="s">
        <v>105</v>
      </c>
      <c r="L81" s="25"/>
      <c r="M81" s="9"/>
      <c r="N81" s="9"/>
      <c r="O81" s="9"/>
      <c r="P81" s="9"/>
      <c r="Q81" s="9"/>
    </row>
    <row r="82" spans="2:17" customFormat="1" hidden="1">
      <c r="B82" s="120" t="s">
        <v>170</v>
      </c>
      <c r="C82" s="122" t="s">
        <v>1444</v>
      </c>
      <c r="D82" s="8" t="s">
        <v>188</v>
      </c>
      <c r="E82" s="221" t="s">
        <v>577</v>
      </c>
      <c r="F82" s="120">
        <v>514101</v>
      </c>
      <c r="G82" s="205" t="s">
        <v>77</v>
      </c>
      <c r="H82" s="220" t="s">
        <v>1420</v>
      </c>
      <c r="I82" s="200">
        <v>7</v>
      </c>
      <c r="J82" s="172" t="s">
        <v>1174</v>
      </c>
      <c r="K82" s="122" t="s">
        <v>849</v>
      </c>
      <c r="L82" s="20"/>
      <c r="M82" s="9"/>
      <c r="N82" s="9"/>
      <c r="O82" s="9"/>
      <c r="P82" s="9"/>
      <c r="Q82" s="9"/>
    </row>
    <row r="83" spans="2:17" customFormat="1">
      <c r="B83" s="120" t="s">
        <v>171</v>
      </c>
      <c r="C83" s="122" t="s">
        <v>1444</v>
      </c>
      <c r="D83" s="8" t="s">
        <v>188</v>
      </c>
      <c r="E83" s="321" t="s">
        <v>45</v>
      </c>
      <c r="F83" s="120">
        <v>522101</v>
      </c>
      <c r="G83" s="205" t="s">
        <v>43</v>
      </c>
      <c r="H83" s="220" t="s">
        <v>1421</v>
      </c>
      <c r="I83" s="200">
        <v>9</v>
      </c>
      <c r="J83" s="172" t="s">
        <v>1174</v>
      </c>
      <c r="K83" s="122" t="s">
        <v>849</v>
      </c>
      <c r="L83" s="20"/>
      <c r="M83" s="9"/>
      <c r="N83" s="9"/>
      <c r="O83" s="9"/>
      <c r="P83" s="9"/>
      <c r="Q83" s="9"/>
    </row>
    <row r="84" spans="2:17" customFormat="1" hidden="1">
      <c r="B84" s="120" t="s">
        <v>172</v>
      </c>
      <c r="C84" s="122" t="s">
        <v>1444</v>
      </c>
      <c r="D84" s="8" t="s">
        <v>188</v>
      </c>
      <c r="E84" s="221" t="s">
        <v>1442</v>
      </c>
      <c r="F84" s="120">
        <v>723103</v>
      </c>
      <c r="G84" s="120" t="s">
        <v>75</v>
      </c>
      <c r="H84" s="120" t="s">
        <v>2252</v>
      </c>
      <c r="I84" s="200">
        <v>12</v>
      </c>
      <c r="J84" s="172" t="s">
        <v>1174</v>
      </c>
      <c r="K84" s="122" t="s">
        <v>849</v>
      </c>
      <c r="L84" s="22"/>
      <c r="M84" s="9"/>
      <c r="N84" s="9"/>
      <c r="O84" s="9"/>
      <c r="P84" s="9"/>
      <c r="Q84" s="9"/>
    </row>
    <row r="85" spans="2:17" customFormat="1" hidden="1">
      <c r="B85" s="120" t="s">
        <v>176</v>
      </c>
      <c r="C85" s="122" t="s">
        <v>1444</v>
      </c>
      <c r="D85" s="8" t="s">
        <v>188</v>
      </c>
      <c r="E85" s="221" t="s">
        <v>279</v>
      </c>
      <c r="F85" s="120">
        <v>512001</v>
      </c>
      <c r="G85" s="205" t="s">
        <v>81</v>
      </c>
      <c r="H85" s="120" t="s">
        <v>1421</v>
      </c>
      <c r="I85" s="200">
        <v>4</v>
      </c>
      <c r="J85" s="172" t="s">
        <v>1174</v>
      </c>
      <c r="K85" s="122" t="s">
        <v>849</v>
      </c>
      <c r="L85" s="22"/>
      <c r="M85" s="9"/>
      <c r="N85" s="9"/>
      <c r="O85" s="9"/>
      <c r="P85" s="9"/>
      <c r="Q85" s="9"/>
    </row>
    <row r="86" spans="2:17" customFormat="1" hidden="1">
      <c r="B86" s="120" t="s">
        <v>177</v>
      </c>
      <c r="C86" s="122" t="s">
        <v>1444</v>
      </c>
      <c r="D86" s="8" t="s">
        <v>188</v>
      </c>
      <c r="E86" s="136" t="s">
        <v>87</v>
      </c>
      <c r="F86" s="120">
        <v>741103</v>
      </c>
      <c r="G86" s="120" t="s">
        <v>54</v>
      </c>
      <c r="H86" s="120" t="s">
        <v>1345</v>
      </c>
      <c r="I86" s="200">
        <v>1</v>
      </c>
      <c r="J86" s="198" t="s">
        <v>1465</v>
      </c>
      <c r="K86" s="122" t="s">
        <v>105</v>
      </c>
      <c r="L86" s="22"/>
      <c r="M86" s="9"/>
      <c r="N86" s="9"/>
      <c r="O86" s="9"/>
      <c r="P86" s="9"/>
      <c r="Q86" s="9"/>
    </row>
    <row r="87" spans="2:17" customFormat="1" hidden="1">
      <c r="B87" s="120" t="s">
        <v>178</v>
      </c>
      <c r="C87" s="122" t="s">
        <v>1444</v>
      </c>
      <c r="D87" s="8" t="s">
        <v>188</v>
      </c>
      <c r="E87" s="221" t="s">
        <v>37</v>
      </c>
      <c r="F87" s="120">
        <v>751201</v>
      </c>
      <c r="G87" s="120" t="s">
        <v>183</v>
      </c>
      <c r="H87" s="120" t="s">
        <v>2252</v>
      </c>
      <c r="I87" s="200">
        <v>2</v>
      </c>
      <c r="J87" s="172" t="s">
        <v>1174</v>
      </c>
      <c r="K87" s="221" t="s">
        <v>849</v>
      </c>
      <c r="L87" s="22"/>
      <c r="M87" s="9"/>
      <c r="N87" s="9"/>
      <c r="O87" s="9"/>
      <c r="P87" s="9"/>
      <c r="Q87" s="9"/>
    </row>
    <row r="88" spans="2:17" customFormat="1" hidden="1">
      <c r="B88" s="120" t="s">
        <v>179</v>
      </c>
      <c r="C88" s="122" t="s">
        <v>1444</v>
      </c>
      <c r="D88" s="8" t="s">
        <v>188</v>
      </c>
      <c r="E88" s="221" t="s">
        <v>52</v>
      </c>
      <c r="F88" s="120">
        <v>721306</v>
      </c>
      <c r="G88" s="120" t="s">
        <v>63</v>
      </c>
      <c r="H88" s="349" t="s">
        <v>2397</v>
      </c>
      <c r="I88" s="200">
        <v>1</v>
      </c>
      <c r="J88" s="198" t="s">
        <v>1465</v>
      </c>
      <c r="K88" s="122" t="s">
        <v>105</v>
      </c>
      <c r="L88" s="20"/>
      <c r="M88" s="9"/>
      <c r="N88" s="9"/>
      <c r="O88" s="9"/>
      <c r="P88" s="9"/>
      <c r="Q88" s="9"/>
    </row>
    <row r="89" spans="2:17" customFormat="1" hidden="1">
      <c r="B89" s="120" t="s">
        <v>180</v>
      </c>
      <c r="C89" s="122" t="s">
        <v>1444</v>
      </c>
      <c r="D89" s="8" t="s">
        <v>188</v>
      </c>
      <c r="E89" s="221" t="s">
        <v>1443</v>
      </c>
      <c r="F89" s="120">
        <v>712906</v>
      </c>
      <c r="G89" s="120" t="s">
        <v>855</v>
      </c>
      <c r="H89" s="184"/>
      <c r="I89" s="200">
        <v>1</v>
      </c>
      <c r="J89" s="172" t="s">
        <v>61</v>
      </c>
      <c r="K89" s="122" t="s">
        <v>851</v>
      </c>
      <c r="L89" s="20"/>
      <c r="M89" s="9"/>
      <c r="N89" s="9"/>
      <c r="O89" s="9"/>
      <c r="P89" s="9"/>
      <c r="Q89" s="9"/>
    </row>
    <row r="90" spans="2:17" customFormat="1" hidden="1">
      <c r="B90" s="120" t="s">
        <v>181</v>
      </c>
      <c r="C90" s="122" t="s">
        <v>1445</v>
      </c>
      <c r="D90" s="8" t="s">
        <v>560</v>
      </c>
      <c r="E90" s="198" t="s">
        <v>52</v>
      </c>
      <c r="F90" s="335">
        <v>721306</v>
      </c>
      <c r="G90" s="120" t="s">
        <v>63</v>
      </c>
      <c r="H90" s="349" t="s">
        <v>2397</v>
      </c>
      <c r="I90" s="200">
        <v>1</v>
      </c>
      <c r="J90" s="198" t="s">
        <v>1465</v>
      </c>
      <c r="K90" s="221" t="s">
        <v>105</v>
      </c>
      <c r="L90" s="20"/>
      <c r="M90" s="9"/>
      <c r="N90" s="9"/>
      <c r="O90" s="9"/>
      <c r="P90" s="9"/>
      <c r="Q90" s="9"/>
    </row>
    <row r="91" spans="2:17" ht="30" hidden="1">
      <c r="B91" s="120" t="s">
        <v>286</v>
      </c>
      <c r="C91" s="207" t="s">
        <v>1445</v>
      </c>
      <c r="D91" s="120" t="s">
        <v>560</v>
      </c>
      <c r="E91" s="303" t="s">
        <v>37</v>
      </c>
      <c r="F91" s="199">
        <v>751201</v>
      </c>
      <c r="G91" s="199" t="s">
        <v>183</v>
      </c>
      <c r="H91" s="155" t="s">
        <v>2285</v>
      </c>
      <c r="I91" s="200">
        <v>4</v>
      </c>
      <c r="J91" s="278" t="s">
        <v>116</v>
      </c>
      <c r="K91" s="207" t="s">
        <v>942</v>
      </c>
      <c r="L91" s="22"/>
      <c r="M91" s="195"/>
      <c r="N91" s="195"/>
      <c r="O91" s="195"/>
      <c r="P91" s="195"/>
      <c r="Q91" s="195"/>
    </row>
    <row r="92" spans="2:17" customFormat="1" hidden="1">
      <c r="B92" s="120" t="s">
        <v>287</v>
      </c>
      <c r="C92" s="122" t="s">
        <v>1445</v>
      </c>
      <c r="D92" s="8" t="s">
        <v>560</v>
      </c>
      <c r="E92" s="136" t="s">
        <v>87</v>
      </c>
      <c r="F92" s="199">
        <v>741103</v>
      </c>
      <c r="G92" s="199" t="s">
        <v>54</v>
      </c>
      <c r="H92" s="120" t="s">
        <v>1350</v>
      </c>
      <c r="I92" s="200">
        <v>3</v>
      </c>
      <c r="J92" s="198" t="s">
        <v>1465</v>
      </c>
      <c r="K92" s="122" t="s">
        <v>105</v>
      </c>
      <c r="L92" s="22"/>
      <c r="M92" s="9"/>
      <c r="N92" s="9"/>
      <c r="O92" s="9"/>
      <c r="P92" s="9"/>
      <c r="Q92" s="9"/>
    </row>
    <row r="93" spans="2:17" customFormat="1" hidden="1">
      <c r="B93" s="120" t="s">
        <v>288</v>
      </c>
      <c r="C93" s="122" t="s">
        <v>1445</v>
      </c>
      <c r="D93" s="8" t="s">
        <v>560</v>
      </c>
      <c r="E93" s="243" t="s">
        <v>55</v>
      </c>
      <c r="F93" s="199">
        <v>343101</v>
      </c>
      <c r="G93" s="199" t="s">
        <v>65</v>
      </c>
      <c r="H93" s="158" t="s">
        <v>2346</v>
      </c>
      <c r="I93" s="200">
        <v>3</v>
      </c>
      <c r="J93" s="141" t="s">
        <v>547</v>
      </c>
      <c r="K93" s="221" t="s">
        <v>41</v>
      </c>
      <c r="L93" s="22"/>
      <c r="M93" s="9"/>
      <c r="N93" s="9"/>
      <c r="O93" s="9"/>
      <c r="P93" s="9"/>
      <c r="Q93" s="9"/>
    </row>
    <row r="94" spans="2:17" ht="45" hidden="1">
      <c r="B94" s="120" t="s">
        <v>289</v>
      </c>
      <c r="C94" s="207" t="s">
        <v>1445</v>
      </c>
      <c r="D94" s="120" t="s">
        <v>560</v>
      </c>
      <c r="E94" s="303" t="s">
        <v>36</v>
      </c>
      <c r="F94" s="199">
        <v>514101</v>
      </c>
      <c r="G94" s="205" t="s">
        <v>77</v>
      </c>
      <c r="H94" s="155" t="s">
        <v>2253</v>
      </c>
      <c r="I94" s="200">
        <v>12</v>
      </c>
      <c r="J94" s="278" t="s">
        <v>116</v>
      </c>
      <c r="K94" s="207" t="s">
        <v>942</v>
      </c>
      <c r="L94" s="22"/>
      <c r="M94" s="195"/>
      <c r="N94" s="195"/>
      <c r="O94" s="195"/>
      <c r="P94" s="195"/>
      <c r="Q94" s="195"/>
    </row>
    <row r="95" spans="2:17" hidden="1">
      <c r="B95" s="120" t="s">
        <v>290</v>
      </c>
      <c r="C95" s="207" t="s">
        <v>1445</v>
      </c>
      <c r="D95" s="120" t="s">
        <v>560</v>
      </c>
      <c r="E95" s="303" t="s">
        <v>44</v>
      </c>
      <c r="F95" s="199">
        <v>512001</v>
      </c>
      <c r="G95" s="205" t="s">
        <v>81</v>
      </c>
      <c r="H95" s="220" t="s">
        <v>2286</v>
      </c>
      <c r="I95" s="200">
        <v>1</v>
      </c>
      <c r="J95" s="278" t="s">
        <v>116</v>
      </c>
      <c r="K95" s="207" t="s">
        <v>942</v>
      </c>
      <c r="L95" s="20"/>
      <c r="M95" s="195"/>
      <c r="N95" s="195"/>
      <c r="O95" s="195"/>
      <c r="P95" s="195"/>
      <c r="Q95" s="195"/>
    </row>
    <row r="96" spans="2:17" customFormat="1" hidden="1">
      <c r="B96" s="120" t="s">
        <v>291</v>
      </c>
      <c r="C96" s="122" t="s">
        <v>1445</v>
      </c>
      <c r="D96" s="8" t="s">
        <v>560</v>
      </c>
      <c r="E96" s="198" t="s">
        <v>34</v>
      </c>
      <c r="F96" s="199">
        <v>723103</v>
      </c>
      <c r="G96" s="199" t="s">
        <v>75</v>
      </c>
      <c r="H96" s="120" t="s">
        <v>1420</v>
      </c>
      <c r="I96" s="352">
        <v>1</v>
      </c>
      <c r="J96" s="141" t="s">
        <v>228</v>
      </c>
      <c r="K96" s="122" t="s">
        <v>104</v>
      </c>
      <c r="L96" s="20"/>
      <c r="M96" s="9"/>
      <c r="N96" s="9"/>
      <c r="O96" s="9"/>
      <c r="P96" s="9"/>
      <c r="Q96" s="9"/>
    </row>
    <row r="97" spans="2:17" ht="60">
      <c r="B97" s="120" t="s">
        <v>292</v>
      </c>
      <c r="C97" s="207" t="s">
        <v>1445</v>
      </c>
      <c r="D97" s="120" t="s">
        <v>560</v>
      </c>
      <c r="E97" s="321" t="s">
        <v>45</v>
      </c>
      <c r="F97" s="199">
        <v>522301</v>
      </c>
      <c r="G97" s="205" t="s">
        <v>43</v>
      </c>
      <c r="H97" s="155" t="s">
        <v>2340</v>
      </c>
      <c r="I97" s="342">
        <v>8</v>
      </c>
      <c r="J97" s="278" t="s">
        <v>116</v>
      </c>
      <c r="K97" s="207" t="s">
        <v>942</v>
      </c>
      <c r="L97" s="20"/>
      <c r="M97" s="195"/>
      <c r="N97" s="195"/>
      <c r="O97" s="195"/>
      <c r="P97" s="195"/>
      <c r="Q97" s="195"/>
    </row>
    <row r="98" spans="2:17" customFormat="1" hidden="1">
      <c r="B98" s="120" t="s">
        <v>293</v>
      </c>
      <c r="C98" s="122" t="s">
        <v>1446</v>
      </c>
      <c r="D98" s="8" t="s">
        <v>935</v>
      </c>
      <c r="E98" s="198" t="s">
        <v>85</v>
      </c>
      <c r="F98" s="199">
        <v>721306</v>
      </c>
      <c r="G98" s="120" t="s">
        <v>63</v>
      </c>
      <c r="H98" s="349" t="s">
        <v>2397</v>
      </c>
      <c r="I98" s="200">
        <v>4</v>
      </c>
      <c r="J98" s="198" t="s">
        <v>1465</v>
      </c>
      <c r="K98" s="221" t="s">
        <v>105</v>
      </c>
      <c r="L98" s="22"/>
      <c r="M98" s="9"/>
      <c r="N98" s="9"/>
      <c r="O98" s="9"/>
      <c r="P98" s="9"/>
      <c r="Q98" s="9"/>
    </row>
    <row r="99" spans="2:17" customFormat="1" hidden="1">
      <c r="B99" s="120" t="s">
        <v>294</v>
      </c>
      <c r="C99" s="122" t="s">
        <v>1446</v>
      </c>
      <c r="D99" s="8" t="s">
        <v>935</v>
      </c>
      <c r="E99" s="243" t="s">
        <v>56</v>
      </c>
      <c r="F99" s="199">
        <v>712905</v>
      </c>
      <c r="G99" s="199" t="s">
        <v>67</v>
      </c>
      <c r="H99" s="120" t="s">
        <v>1420</v>
      </c>
      <c r="I99" s="200">
        <v>4</v>
      </c>
      <c r="J99" s="198" t="s">
        <v>1447</v>
      </c>
      <c r="K99" s="122" t="s">
        <v>938</v>
      </c>
      <c r="L99" s="22"/>
      <c r="M99" s="9"/>
      <c r="N99" s="9"/>
      <c r="O99" s="9"/>
      <c r="P99" s="9"/>
      <c r="Q99" s="9"/>
    </row>
    <row r="100" spans="2:17" customFormat="1" hidden="1">
      <c r="B100" s="120" t="s">
        <v>295</v>
      </c>
      <c r="C100" s="122" t="s">
        <v>1446</v>
      </c>
      <c r="D100" s="8" t="s">
        <v>935</v>
      </c>
      <c r="E100" s="198" t="s">
        <v>74</v>
      </c>
      <c r="F100" s="199">
        <v>723103</v>
      </c>
      <c r="G100" s="199" t="s">
        <v>75</v>
      </c>
      <c r="H100" s="120" t="s">
        <v>1420</v>
      </c>
      <c r="I100" s="200">
        <v>22</v>
      </c>
      <c r="J100" s="198" t="s">
        <v>1447</v>
      </c>
      <c r="K100" s="122" t="s">
        <v>938</v>
      </c>
      <c r="L100" s="22"/>
      <c r="M100" s="9"/>
      <c r="N100" s="9"/>
      <c r="O100" s="9"/>
      <c r="P100" s="9"/>
      <c r="Q100" s="9"/>
    </row>
    <row r="101" spans="2:17" customFormat="1">
      <c r="B101" s="120" t="s">
        <v>296</v>
      </c>
      <c r="C101" s="122" t="s">
        <v>1446</v>
      </c>
      <c r="D101" s="8" t="s">
        <v>935</v>
      </c>
      <c r="E101" s="321" t="s">
        <v>45</v>
      </c>
      <c r="F101" s="199">
        <v>522301</v>
      </c>
      <c r="G101" s="205" t="s">
        <v>43</v>
      </c>
      <c r="H101" s="120" t="s">
        <v>1420</v>
      </c>
      <c r="I101" s="200">
        <v>13</v>
      </c>
      <c r="J101" s="198" t="s">
        <v>1447</v>
      </c>
      <c r="K101" s="122" t="s">
        <v>938</v>
      </c>
      <c r="L101" s="20"/>
      <c r="M101" s="9"/>
      <c r="N101" s="9"/>
      <c r="O101" s="9"/>
      <c r="P101" s="9"/>
      <c r="Q101" s="9"/>
    </row>
    <row r="102" spans="2:17" customFormat="1" hidden="1">
      <c r="B102" s="120" t="s">
        <v>297</v>
      </c>
      <c r="C102" s="122" t="s">
        <v>1446</v>
      </c>
      <c r="D102" s="8" t="s">
        <v>935</v>
      </c>
      <c r="E102" s="198" t="s">
        <v>1435</v>
      </c>
      <c r="F102" s="199">
        <v>713203</v>
      </c>
      <c r="G102" s="199" t="s">
        <v>66</v>
      </c>
      <c r="H102" s="349" t="s">
        <v>2396</v>
      </c>
      <c r="I102" s="200">
        <v>2</v>
      </c>
      <c r="J102" s="198" t="s">
        <v>1465</v>
      </c>
      <c r="K102" s="122" t="s">
        <v>105</v>
      </c>
      <c r="L102" s="20"/>
      <c r="M102" s="9"/>
      <c r="N102" s="9"/>
      <c r="O102" s="9"/>
      <c r="P102" s="9"/>
      <c r="Q102" s="9"/>
    </row>
    <row r="103" spans="2:17" customFormat="1" hidden="1">
      <c r="B103" s="120" t="s">
        <v>298</v>
      </c>
      <c r="C103" s="122" t="s">
        <v>1446</v>
      </c>
      <c r="D103" s="8" t="s">
        <v>935</v>
      </c>
      <c r="E103" s="303" t="s">
        <v>57</v>
      </c>
      <c r="F103" s="199">
        <v>751204</v>
      </c>
      <c r="G103" s="199" t="s">
        <v>68</v>
      </c>
      <c r="H103" s="120" t="s">
        <v>1350</v>
      </c>
      <c r="I103" s="200">
        <v>1</v>
      </c>
      <c r="J103" s="198" t="s">
        <v>1465</v>
      </c>
      <c r="K103" s="122" t="s">
        <v>105</v>
      </c>
      <c r="L103" s="20"/>
      <c r="M103" s="9"/>
      <c r="N103" s="9"/>
      <c r="O103" s="9"/>
      <c r="P103" s="9"/>
      <c r="Q103" s="9"/>
    </row>
    <row r="104" spans="2:17" customFormat="1" hidden="1">
      <c r="B104" s="120" t="s">
        <v>299</v>
      </c>
      <c r="C104" s="122" t="s">
        <v>1446</v>
      </c>
      <c r="D104" s="8" t="s">
        <v>935</v>
      </c>
      <c r="E104" s="198" t="s">
        <v>91</v>
      </c>
      <c r="F104" s="199">
        <v>752205</v>
      </c>
      <c r="G104" s="199" t="s">
        <v>69</v>
      </c>
      <c r="H104" s="120" t="s">
        <v>1348</v>
      </c>
      <c r="I104" s="200">
        <v>2</v>
      </c>
      <c r="J104" s="198" t="s">
        <v>1465</v>
      </c>
      <c r="K104" s="122" t="s">
        <v>105</v>
      </c>
      <c r="L104" s="22"/>
      <c r="M104" s="9"/>
      <c r="N104" s="9"/>
      <c r="O104" s="9"/>
      <c r="P104" s="9"/>
      <c r="Q104" s="9"/>
    </row>
    <row r="105" spans="2:17">
      <c r="B105" s="120" t="s">
        <v>300</v>
      </c>
      <c r="C105" s="207" t="s">
        <v>1448</v>
      </c>
      <c r="D105" s="120" t="s">
        <v>564</v>
      </c>
      <c r="E105" s="321" t="s">
        <v>45</v>
      </c>
      <c r="F105" s="224">
        <v>522301</v>
      </c>
      <c r="G105" s="205" t="s">
        <v>43</v>
      </c>
      <c r="H105" s="120" t="s">
        <v>1421</v>
      </c>
      <c r="I105" s="212">
        <v>1</v>
      </c>
      <c r="J105" s="278" t="s">
        <v>116</v>
      </c>
      <c r="K105" s="207" t="s">
        <v>942</v>
      </c>
      <c r="L105" s="22"/>
      <c r="M105" s="195"/>
      <c r="N105" s="195"/>
      <c r="O105" s="195"/>
      <c r="P105" s="195"/>
      <c r="Q105" s="195"/>
    </row>
    <row r="106" spans="2:17" customFormat="1" hidden="1">
      <c r="B106" s="120" t="s">
        <v>301</v>
      </c>
      <c r="C106" s="122" t="s">
        <v>1448</v>
      </c>
      <c r="D106" s="8" t="s">
        <v>564</v>
      </c>
      <c r="E106" s="326" t="s">
        <v>84</v>
      </c>
      <c r="F106" s="224">
        <v>343101</v>
      </c>
      <c r="G106" s="224" t="s">
        <v>65</v>
      </c>
      <c r="H106" s="158" t="s">
        <v>2346</v>
      </c>
      <c r="I106" s="212">
        <v>1</v>
      </c>
      <c r="J106" s="141" t="s">
        <v>547</v>
      </c>
      <c r="K106" s="221" t="s">
        <v>41</v>
      </c>
      <c r="L106" s="22"/>
      <c r="M106" s="9"/>
      <c r="N106" s="9"/>
      <c r="O106" s="9"/>
      <c r="P106" s="9"/>
      <c r="Q106" s="9"/>
    </row>
    <row r="107" spans="2:17" customFormat="1" hidden="1">
      <c r="B107" s="120" t="s">
        <v>302</v>
      </c>
      <c r="C107" s="122" t="s">
        <v>1448</v>
      </c>
      <c r="D107" s="8" t="s">
        <v>564</v>
      </c>
      <c r="E107" s="198" t="s">
        <v>103</v>
      </c>
      <c r="F107" s="224">
        <v>722307</v>
      </c>
      <c r="G107" s="224" t="s">
        <v>83</v>
      </c>
      <c r="H107" s="348" t="s">
        <v>2396</v>
      </c>
      <c r="I107" s="212">
        <v>2</v>
      </c>
      <c r="J107" s="198" t="s">
        <v>1465</v>
      </c>
      <c r="K107" s="122" t="s">
        <v>105</v>
      </c>
      <c r="L107" s="22"/>
      <c r="M107" s="9"/>
      <c r="N107" s="9"/>
      <c r="O107" s="9"/>
      <c r="P107" s="9"/>
      <c r="Q107" s="9"/>
    </row>
    <row r="108" spans="2:17" hidden="1">
      <c r="B108" s="120" t="s">
        <v>303</v>
      </c>
      <c r="C108" s="207" t="s">
        <v>1448</v>
      </c>
      <c r="D108" s="120" t="s">
        <v>564</v>
      </c>
      <c r="E108" s="328" t="s">
        <v>114</v>
      </c>
      <c r="F108" s="224">
        <v>514101</v>
      </c>
      <c r="G108" s="205" t="s">
        <v>77</v>
      </c>
      <c r="H108" s="120" t="s">
        <v>1421</v>
      </c>
      <c r="I108" s="212">
        <v>3</v>
      </c>
      <c r="J108" s="278" t="s">
        <v>116</v>
      </c>
      <c r="K108" s="207" t="s">
        <v>942</v>
      </c>
      <c r="L108" s="22"/>
      <c r="M108" s="195"/>
      <c r="N108" s="195"/>
      <c r="O108" s="195"/>
      <c r="P108" s="195"/>
      <c r="Q108" s="195"/>
    </row>
    <row r="109" spans="2:17" hidden="1">
      <c r="B109" s="120" t="s">
        <v>304</v>
      </c>
      <c r="C109" s="207" t="s">
        <v>1448</v>
      </c>
      <c r="D109" s="120" t="s">
        <v>564</v>
      </c>
      <c r="E109" s="303" t="s">
        <v>57</v>
      </c>
      <c r="F109" s="224">
        <v>751204</v>
      </c>
      <c r="G109" s="199" t="s">
        <v>68</v>
      </c>
      <c r="H109" s="120" t="s">
        <v>1421</v>
      </c>
      <c r="I109" s="212">
        <v>1</v>
      </c>
      <c r="J109" s="278" t="s">
        <v>116</v>
      </c>
      <c r="K109" s="207" t="s">
        <v>942</v>
      </c>
      <c r="L109" s="22"/>
      <c r="M109" s="195"/>
      <c r="N109" s="195"/>
      <c r="O109" s="195"/>
      <c r="P109" s="195"/>
      <c r="Q109" s="195"/>
    </row>
    <row r="110" spans="2:17" customFormat="1" hidden="1">
      <c r="B110" s="120" t="s">
        <v>305</v>
      </c>
      <c r="C110" s="122" t="s">
        <v>1448</v>
      </c>
      <c r="D110" s="8" t="s">
        <v>564</v>
      </c>
      <c r="E110" s="327" t="s">
        <v>74</v>
      </c>
      <c r="F110" s="224">
        <v>723103</v>
      </c>
      <c r="G110" s="224" t="s">
        <v>75</v>
      </c>
      <c r="H110" s="120" t="s">
        <v>1413</v>
      </c>
      <c r="I110" s="212">
        <v>3</v>
      </c>
      <c r="J110" s="161" t="s">
        <v>566</v>
      </c>
      <c r="K110" s="122" t="s">
        <v>579</v>
      </c>
      <c r="L110" s="22"/>
      <c r="M110" s="9"/>
      <c r="N110" s="9"/>
      <c r="O110" s="9"/>
      <c r="P110" s="9"/>
      <c r="Q110" s="9"/>
    </row>
    <row r="111" spans="2:17" ht="30" hidden="1">
      <c r="B111" s="120" t="s">
        <v>306</v>
      </c>
      <c r="C111" s="207" t="s">
        <v>1448</v>
      </c>
      <c r="D111" s="120" t="s">
        <v>564</v>
      </c>
      <c r="E111" s="328" t="s">
        <v>80</v>
      </c>
      <c r="F111" s="224">
        <v>512001</v>
      </c>
      <c r="G111" s="205" t="s">
        <v>81</v>
      </c>
      <c r="H111" s="220" t="s">
        <v>2256</v>
      </c>
      <c r="I111" s="212">
        <v>5</v>
      </c>
      <c r="J111" s="278" t="s">
        <v>116</v>
      </c>
      <c r="K111" s="207" t="s">
        <v>942</v>
      </c>
      <c r="L111" s="22"/>
      <c r="M111" s="195"/>
      <c r="N111" s="195"/>
      <c r="O111" s="195"/>
      <c r="P111" s="195"/>
      <c r="Q111" s="195"/>
    </row>
    <row r="112" spans="2:17" customFormat="1" hidden="1">
      <c r="B112" s="120" t="s">
        <v>307</v>
      </c>
      <c r="C112" s="122" t="s">
        <v>1448</v>
      </c>
      <c r="D112" s="8" t="s">
        <v>564</v>
      </c>
      <c r="E112" s="198" t="s">
        <v>39</v>
      </c>
      <c r="F112" s="224">
        <v>711204</v>
      </c>
      <c r="G112" s="224" t="s">
        <v>106</v>
      </c>
      <c r="H112" s="120" t="s">
        <v>2396</v>
      </c>
      <c r="I112" s="212">
        <v>1</v>
      </c>
      <c r="J112" s="198" t="s">
        <v>1465</v>
      </c>
      <c r="K112" s="122" t="s">
        <v>105</v>
      </c>
      <c r="L112" s="22"/>
      <c r="M112" s="9"/>
      <c r="N112" s="9"/>
      <c r="O112" s="9"/>
      <c r="P112" s="9"/>
      <c r="Q112" s="9"/>
    </row>
    <row r="113" spans="2:17" customFormat="1" hidden="1">
      <c r="B113" s="120" t="s">
        <v>308</v>
      </c>
      <c r="C113" s="122" t="s">
        <v>1449</v>
      </c>
      <c r="D113" s="8" t="s">
        <v>225</v>
      </c>
      <c r="E113" s="198" t="s">
        <v>114</v>
      </c>
      <c r="F113" s="199">
        <v>514101</v>
      </c>
      <c r="G113" s="205" t="s">
        <v>77</v>
      </c>
      <c r="H113" s="120" t="s">
        <v>1413</v>
      </c>
      <c r="I113" s="200">
        <v>7</v>
      </c>
      <c r="J113" s="7" t="s">
        <v>228</v>
      </c>
      <c r="K113" s="122" t="s">
        <v>104</v>
      </c>
      <c r="L113" s="22"/>
      <c r="M113" s="9"/>
      <c r="N113" s="9"/>
      <c r="O113" s="9"/>
      <c r="P113" s="9"/>
      <c r="Q113" s="9"/>
    </row>
    <row r="114" spans="2:17" customFormat="1" hidden="1">
      <c r="B114" s="120" t="s">
        <v>309</v>
      </c>
      <c r="C114" s="122" t="s">
        <v>1449</v>
      </c>
      <c r="D114" s="8" t="s">
        <v>225</v>
      </c>
      <c r="E114" s="198" t="s">
        <v>74</v>
      </c>
      <c r="F114" s="199">
        <v>723103</v>
      </c>
      <c r="G114" s="199" t="s">
        <v>75</v>
      </c>
      <c r="H114" s="120" t="s">
        <v>1420</v>
      </c>
      <c r="I114" s="200">
        <v>12</v>
      </c>
      <c r="J114" s="7" t="s">
        <v>228</v>
      </c>
      <c r="K114" s="122" t="s">
        <v>104</v>
      </c>
      <c r="L114" s="22"/>
      <c r="M114" s="9"/>
      <c r="N114" s="9"/>
      <c r="O114" s="9"/>
      <c r="P114" s="9"/>
      <c r="Q114" s="9"/>
    </row>
    <row r="115" spans="2:17" customFormat="1" hidden="1">
      <c r="B115" s="120" t="s">
        <v>310</v>
      </c>
      <c r="C115" s="122" t="s">
        <v>1449</v>
      </c>
      <c r="D115" s="8" t="s">
        <v>225</v>
      </c>
      <c r="E115" s="198" t="s">
        <v>215</v>
      </c>
      <c r="F115" s="199">
        <v>751201</v>
      </c>
      <c r="G115" s="199" t="s">
        <v>183</v>
      </c>
      <c r="H115" s="120" t="s">
        <v>2394</v>
      </c>
      <c r="I115" s="200">
        <v>2</v>
      </c>
      <c r="J115" s="198" t="s">
        <v>1465</v>
      </c>
      <c r="K115" s="122" t="s">
        <v>105</v>
      </c>
      <c r="L115" s="22"/>
      <c r="M115" s="9"/>
      <c r="N115" s="9"/>
      <c r="O115" s="9"/>
      <c r="P115" s="9"/>
      <c r="Q115" s="9"/>
    </row>
    <row r="116" spans="2:17" customFormat="1" hidden="1">
      <c r="B116" s="120" t="s">
        <v>311</v>
      </c>
      <c r="C116" s="122" t="s">
        <v>1449</v>
      </c>
      <c r="D116" s="8" t="s">
        <v>225</v>
      </c>
      <c r="E116" s="243" t="s">
        <v>56</v>
      </c>
      <c r="F116" s="199">
        <v>712905</v>
      </c>
      <c r="G116" s="199" t="s">
        <v>67</v>
      </c>
      <c r="H116" s="158" t="s">
        <v>1320</v>
      </c>
      <c r="I116" s="200">
        <v>2</v>
      </c>
      <c r="J116" s="141" t="s">
        <v>547</v>
      </c>
      <c r="K116" s="221" t="s">
        <v>41</v>
      </c>
      <c r="L116" s="22"/>
      <c r="M116" s="9"/>
      <c r="N116" s="9"/>
      <c r="O116" s="9"/>
      <c r="P116" s="9"/>
      <c r="Q116" s="9"/>
    </row>
    <row r="117" spans="2:17" customFormat="1" hidden="1">
      <c r="B117" s="120" t="s">
        <v>312</v>
      </c>
      <c r="C117" s="122" t="s">
        <v>1449</v>
      </c>
      <c r="D117" s="8" t="s">
        <v>225</v>
      </c>
      <c r="E117" s="198" t="s">
        <v>91</v>
      </c>
      <c r="F117" s="199">
        <v>752205</v>
      </c>
      <c r="G117" s="199" t="s">
        <v>69</v>
      </c>
      <c r="H117" s="120" t="s">
        <v>1348</v>
      </c>
      <c r="I117" s="200">
        <v>2</v>
      </c>
      <c r="J117" s="198" t="s">
        <v>1465</v>
      </c>
      <c r="K117" s="122" t="s">
        <v>105</v>
      </c>
      <c r="L117" s="22"/>
      <c r="M117" s="9"/>
      <c r="N117" s="9"/>
      <c r="O117" s="9"/>
      <c r="P117" s="9"/>
      <c r="Q117" s="9"/>
    </row>
    <row r="118" spans="2:17" customFormat="1">
      <c r="B118" s="120" t="s">
        <v>313</v>
      </c>
      <c r="C118" s="122" t="s">
        <v>1449</v>
      </c>
      <c r="D118" s="8" t="s">
        <v>225</v>
      </c>
      <c r="E118" s="321" t="s">
        <v>45</v>
      </c>
      <c r="F118" s="199">
        <v>522301</v>
      </c>
      <c r="G118" s="205" t="s">
        <v>43</v>
      </c>
      <c r="H118" s="120" t="s">
        <v>1413</v>
      </c>
      <c r="I118" s="200">
        <v>5</v>
      </c>
      <c r="J118" s="7" t="s">
        <v>228</v>
      </c>
      <c r="K118" s="122" t="s">
        <v>104</v>
      </c>
      <c r="L118" s="22"/>
      <c r="M118" s="9"/>
      <c r="N118" s="9"/>
      <c r="O118" s="9"/>
      <c r="P118" s="9"/>
      <c r="Q118" s="9"/>
    </row>
    <row r="119" spans="2:17" customFormat="1" hidden="1">
      <c r="B119" s="120" t="s">
        <v>314</v>
      </c>
      <c r="C119" s="122" t="s">
        <v>1449</v>
      </c>
      <c r="D119" s="8" t="s">
        <v>225</v>
      </c>
      <c r="E119" s="136" t="s">
        <v>87</v>
      </c>
      <c r="F119" s="199">
        <v>741103</v>
      </c>
      <c r="G119" s="199" t="s">
        <v>54</v>
      </c>
      <c r="H119" s="120" t="s">
        <v>1350</v>
      </c>
      <c r="I119" s="200">
        <v>1</v>
      </c>
      <c r="J119" s="198" t="s">
        <v>1465</v>
      </c>
      <c r="K119" s="122" t="s">
        <v>105</v>
      </c>
      <c r="L119" s="22"/>
      <c r="M119" s="9"/>
      <c r="N119" s="9"/>
      <c r="O119" s="9"/>
      <c r="P119" s="9"/>
      <c r="Q119" s="9"/>
    </row>
    <row r="120" spans="2:17" customFormat="1" hidden="1">
      <c r="B120" s="120" t="s">
        <v>315</v>
      </c>
      <c r="C120" s="122" t="s">
        <v>1449</v>
      </c>
      <c r="D120" s="8" t="s">
        <v>225</v>
      </c>
      <c r="E120" s="198" t="s">
        <v>1435</v>
      </c>
      <c r="F120" s="199">
        <v>713203</v>
      </c>
      <c r="G120" s="199" t="s">
        <v>66</v>
      </c>
      <c r="H120" s="349" t="s">
        <v>2396</v>
      </c>
      <c r="I120" s="200">
        <v>1</v>
      </c>
      <c r="J120" s="198" t="s">
        <v>1465</v>
      </c>
      <c r="K120" s="221" t="s">
        <v>105</v>
      </c>
      <c r="L120" s="25"/>
      <c r="M120" s="9"/>
      <c r="N120" s="9"/>
      <c r="O120" s="9"/>
      <c r="P120" s="9"/>
      <c r="Q120" s="9"/>
    </row>
    <row r="121" spans="2:17" customFormat="1" hidden="1">
      <c r="B121" s="120" t="s">
        <v>316</v>
      </c>
      <c r="C121" s="122" t="s">
        <v>1449</v>
      </c>
      <c r="D121" s="8" t="s">
        <v>225</v>
      </c>
      <c r="E121" s="198" t="s">
        <v>39</v>
      </c>
      <c r="F121" s="199">
        <v>711204</v>
      </c>
      <c r="G121" s="199" t="s">
        <v>106</v>
      </c>
      <c r="H121" s="120" t="s">
        <v>2396</v>
      </c>
      <c r="I121" s="200">
        <v>2</v>
      </c>
      <c r="J121" s="198" t="s">
        <v>1465</v>
      </c>
      <c r="K121" s="122" t="s">
        <v>105</v>
      </c>
      <c r="L121" s="25"/>
      <c r="M121" s="9"/>
      <c r="N121" s="9"/>
      <c r="O121" s="9"/>
      <c r="P121" s="9"/>
      <c r="Q121" s="9"/>
    </row>
    <row r="122" spans="2:17" customFormat="1" hidden="1">
      <c r="B122" s="120" t="s">
        <v>317</v>
      </c>
      <c r="C122" s="122" t="s">
        <v>1449</v>
      </c>
      <c r="D122" s="8" t="s">
        <v>225</v>
      </c>
      <c r="E122" s="198" t="s">
        <v>80</v>
      </c>
      <c r="F122" s="199">
        <v>512001</v>
      </c>
      <c r="G122" s="205" t="s">
        <v>81</v>
      </c>
      <c r="H122" s="120" t="s">
        <v>2260</v>
      </c>
      <c r="I122" s="200">
        <v>5</v>
      </c>
      <c r="J122" s="299" t="s">
        <v>228</v>
      </c>
      <c r="K122" s="221" t="s">
        <v>104</v>
      </c>
      <c r="L122" s="25"/>
      <c r="M122" s="9"/>
      <c r="N122" s="9"/>
      <c r="O122" s="9"/>
      <c r="P122" s="9"/>
      <c r="Q122" s="9"/>
    </row>
    <row r="123" spans="2:17" customFormat="1" hidden="1">
      <c r="B123" s="120" t="s">
        <v>318</v>
      </c>
      <c r="C123" s="122" t="s">
        <v>1449</v>
      </c>
      <c r="D123" s="8" t="s">
        <v>225</v>
      </c>
      <c r="E123" s="198" t="s">
        <v>103</v>
      </c>
      <c r="F123" s="199">
        <v>722307</v>
      </c>
      <c r="G123" s="199" t="s">
        <v>83</v>
      </c>
      <c r="H123" s="348" t="s">
        <v>2396</v>
      </c>
      <c r="I123" s="200">
        <v>2</v>
      </c>
      <c r="J123" s="198" t="s">
        <v>1465</v>
      </c>
      <c r="K123" s="122" t="s">
        <v>105</v>
      </c>
      <c r="L123" s="25"/>
      <c r="M123" s="9"/>
      <c r="N123" s="9"/>
      <c r="O123" s="9"/>
      <c r="P123" s="9"/>
      <c r="Q123" s="9"/>
    </row>
    <row r="124" spans="2:17" customFormat="1" hidden="1">
      <c r="B124" s="120" t="s">
        <v>319</v>
      </c>
      <c r="C124" s="122" t="s">
        <v>1449</v>
      </c>
      <c r="D124" s="8" t="s">
        <v>225</v>
      </c>
      <c r="E124" s="198" t="s">
        <v>620</v>
      </c>
      <c r="F124" s="199">
        <v>962907</v>
      </c>
      <c r="G124" s="199" t="s">
        <v>194</v>
      </c>
      <c r="H124" s="120" t="s">
        <v>2252</v>
      </c>
      <c r="I124" s="200">
        <v>1</v>
      </c>
      <c r="J124" s="172" t="s">
        <v>1174</v>
      </c>
      <c r="K124" s="122" t="s">
        <v>849</v>
      </c>
      <c r="L124" s="25"/>
      <c r="M124" s="9"/>
      <c r="N124" s="9"/>
      <c r="O124" s="9"/>
      <c r="P124" s="9"/>
      <c r="Q124" s="9"/>
    </row>
    <row r="125" spans="2:17" customFormat="1" hidden="1">
      <c r="B125" s="120" t="s">
        <v>320</v>
      </c>
      <c r="C125" s="122" t="s">
        <v>1450</v>
      </c>
      <c r="D125" s="8" t="s">
        <v>235</v>
      </c>
      <c r="E125" s="303" t="s">
        <v>57</v>
      </c>
      <c r="F125" s="219">
        <v>751204</v>
      </c>
      <c r="G125" s="199" t="s">
        <v>68</v>
      </c>
      <c r="H125" s="120" t="s">
        <v>2396</v>
      </c>
      <c r="I125" s="214">
        <v>2</v>
      </c>
      <c r="J125" s="198" t="s">
        <v>1465</v>
      </c>
      <c r="K125" s="122" t="s">
        <v>105</v>
      </c>
      <c r="L125" s="25"/>
      <c r="M125" s="9"/>
      <c r="N125" s="9"/>
      <c r="O125" s="9"/>
      <c r="P125" s="9"/>
      <c r="Q125" s="9"/>
    </row>
    <row r="126" spans="2:17" customFormat="1" hidden="1">
      <c r="B126" s="120" t="s">
        <v>321</v>
      </c>
      <c r="C126" s="122" t="s">
        <v>1450</v>
      </c>
      <c r="D126" s="8" t="s">
        <v>235</v>
      </c>
      <c r="E126" s="325" t="s">
        <v>206</v>
      </c>
      <c r="F126" s="219">
        <v>722204</v>
      </c>
      <c r="G126" s="120" t="s">
        <v>185</v>
      </c>
      <c r="H126" s="348" t="s">
        <v>1350</v>
      </c>
      <c r="I126" s="214">
        <v>6</v>
      </c>
      <c r="J126" s="198" t="s">
        <v>1465</v>
      </c>
      <c r="K126" s="122" t="s">
        <v>105</v>
      </c>
      <c r="L126" s="25"/>
      <c r="M126" s="9"/>
      <c r="N126" s="9"/>
      <c r="O126" s="9"/>
      <c r="P126" s="9"/>
      <c r="Q126" s="9"/>
    </row>
    <row r="127" spans="2:17" customFormat="1" hidden="1">
      <c r="B127" s="120" t="s">
        <v>322</v>
      </c>
      <c r="C127" s="122" t="s">
        <v>1450</v>
      </c>
      <c r="D127" s="8" t="s">
        <v>235</v>
      </c>
      <c r="E127" s="325" t="s">
        <v>36</v>
      </c>
      <c r="F127" s="219">
        <v>514101</v>
      </c>
      <c r="G127" s="205" t="s">
        <v>77</v>
      </c>
      <c r="H127" s="120" t="s">
        <v>1350</v>
      </c>
      <c r="I127" s="214">
        <v>6</v>
      </c>
      <c r="J127" s="198" t="s">
        <v>1465</v>
      </c>
      <c r="K127" s="122" t="s">
        <v>105</v>
      </c>
      <c r="L127" s="20"/>
      <c r="M127" s="9"/>
      <c r="N127" s="9"/>
      <c r="O127" s="9"/>
      <c r="P127" s="9"/>
      <c r="Q127" s="9"/>
    </row>
    <row r="128" spans="2:17" customFormat="1" hidden="1">
      <c r="B128" s="120" t="s">
        <v>323</v>
      </c>
      <c r="C128" s="122" t="s">
        <v>1450</v>
      </c>
      <c r="D128" s="8" t="s">
        <v>235</v>
      </c>
      <c r="E128" s="198" t="s">
        <v>198</v>
      </c>
      <c r="F128" s="199">
        <v>712618</v>
      </c>
      <c r="G128" s="120" t="s">
        <v>86</v>
      </c>
      <c r="H128" s="115" t="s">
        <v>1348</v>
      </c>
      <c r="I128" s="214">
        <v>1</v>
      </c>
      <c r="J128" s="198" t="s">
        <v>1465</v>
      </c>
      <c r="K128" s="122" t="s">
        <v>105</v>
      </c>
      <c r="L128" s="20"/>
      <c r="M128" s="9"/>
      <c r="N128" s="9"/>
      <c r="O128" s="9"/>
      <c r="P128" s="9"/>
      <c r="Q128" s="9"/>
    </row>
    <row r="129" spans="2:17" customFormat="1" hidden="1">
      <c r="B129" s="120" t="s">
        <v>324</v>
      </c>
      <c r="C129" s="122" t="s">
        <v>1450</v>
      </c>
      <c r="D129" s="8" t="s">
        <v>235</v>
      </c>
      <c r="E129" s="198" t="s">
        <v>1435</v>
      </c>
      <c r="F129" s="225">
        <v>713203</v>
      </c>
      <c r="G129" s="225" t="s">
        <v>66</v>
      </c>
      <c r="H129" s="349" t="s">
        <v>2396</v>
      </c>
      <c r="I129" s="214">
        <v>2</v>
      </c>
      <c r="J129" s="198" t="s">
        <v>1465</v>
      </c>
      <c r="K129" s="221" t="s">
        <v>105</v>
      </c>
      <c r="L129" s="20"/>
      <c r="M129" s="9"/>
      <c r="N129" s="9"/>
      <c r="O129" s="9"/>
      <c r="P129" s="9"/>
      <c r="Q129" s="9"/>
    </row>
    <row r="130" spans="2:17" customFormat="1" hidden="1">
      <c r="B130" s="120" t="s">
        <v>325</v>
      </c>
      <c r="C130" s="122" t="s">
        <v>1450</v>
      </c>
      <c r="D130" s="8" t="s">
        <v>235</v>
      </c>
      <c r="E130" s="136" t="s">
        <v>87</v>
      </c>
      <c r="F130" s="219">
        <v>741103</v>
      </c>
      <c r="G130" s="120" t="s">
        <v>54</v>
      </c>
      <c r="H130" s="120" t="s">
        <v>1350</v>
      </c>
      <c r="I130" s="214">
        <v>4</v>
      </c>
      <c r="J130" s="198" t="s">
        <v>1465</v>
      </c>
      <c r="K130" s="122" t="s">
        <v>105</v>
      </c>
      <c r="L130" s="22"/>
      <c r="M130" s="9"/>
      <c r="N130" s="9"/>
      <c r="O130" s="9"/>
      <c r="P130" s="9"/>
      <c r="Q130" s="9"/>
    </row>
    <row r="131" spans="2:17" customFormat="1" hidden="1">
      <c r="B131" s="120" t="s">
        <v>326</v>
      </c>
      <c r="C131" s="122" t="s">
        <v>1450</v>
      </c>
      <c r="D131" s="8" t="s">
        <v>235</v>
      </c>
      <c r="E131" s="325" t="s">
        <v>33</v>
      </c>
      <c r="F131" s="219">
        <v>711204</v>
      </c>
      <c r="G131" s="120" t="s">
        <v>69</v>
      </c>
      <c r="H131" s="120" t="s">
        <v>1348</v>
      </c>
      <c r="I131" s="214">
        <v>1</v>
      </c>
      <c r="J131" s="198" t="s">
        <v>1465</v>
      </c>
      <c r="K131" s="122" t="s">
        <v>105</v>
      </c>
      <c r="L131" s="22"/>
      <c r="M131" s="9"/>
      <c r="N131" s="9"/>
      <c r="O131" s="9"/>
      <c r="P131" s="9"/>
      <c r="Q131" s="9"/>
    </row>
    <row r="132" spans="2:17" customFormat="1" hidden="1">
      <c r="B132" s="120" t="s">
        <v>327</v>
      </c>
      <c r="C132" s="122" t="s">
        <v>1450</v>
      </c>
      <c r="D132" s="8" t="s">
        <v>235</v>
      </c>
      <c r="E132" s="325" t="s">
        <v>44</v>
      </c>
      <c r="F132" s="213">
        <v>512001</v>
      </c>
      <c r="G132" s="205" t="s">
        <v>81</v>
      </c>
      <c r="H132" s="295" t="s">
        <v>1427</v>
      </c>
      <c r="I132" s="214">
        <v>8</v>
      </c>
      <c r="J132" s="215" t="s">
        <v>109</v>
      </c>
      <c r="K132" s="122" t="s">
        <v>237</v>
      </c>
      <c r="L132" s="22"/>
      <c r="M132" s="9"/>
      <c r="N132" s="9"/>
      <c r="O132" s="9"/>
      <c r="P132" s="9"/>
      <c r="Q132" s="9"/>
    </row>
    <row r="133" spans="2:17" customFormat="1">
      <c r="B133" s="120" t="s">
        <v>328</v>
      </c>
      <c r="C133" s="122" t="s">
        <v>1450</v>
      </c>
      <c r="D133" s="8" t="s">
        <v>235</v>
      </c>
      <c r="E133" s="321" t="s">
        <v>45</v>
      </c>
      <c r="F133" s="213">
        <v>522301</v>
      </c>
      <c r="G133" s="205" t="s">
        <v>43</v>
      </c>
      <c r="H133" s="295" t="s">
        <v>1421</v>
      </c>
      <c r="I133" s="214">
        <v>5</v>
      </c>
      <c r="J133" s="215" t="s">
        <v>109</v>
      </c>
      <c r="K133" s="122" t="s">
        <v>237</v>
      </c>
      <c r="L133" s="22"/>
      <c r="M133" s="9"/>
      <c r="N133" s="9"/>
      <c r="O133" s="9"/>
      <c r="P133" s="9"/>
      <c r="Q133" s="9"/>
    </row>
    <row r="134" spans="2:17" customFormat="1" hidden="1">
      <c r="B134" s="120" t="s">
        <v>329</v>
      </c>
      <c r="C134" s="122" t="s">
        <v>1450</v>
      </c>
      <c r="D134" s="8" t="s">
        <v>235</v>
      </c>
      <c r="E134" s="329" t="s">
        <v>1442</v>
      </c>
      <c r="F134" s="226">
        <v>723103</v>
      </c>
      <c r="G134" s="226" t="s">
        <v>75</v>
      </c>
      <c r="H134" s="295" t="s">
        <v>1420</v>
      </c>
      <c r="I134" s="408">
        <v>10</v>
      </c>
      <c r="J134" s="215" t="s">
        <v>109</v>
      </c>
      <c r="K134" s="122" t="s">
        <v>237</v>
      </c>
      <c r="L134" s="22"/>
      <c r="M134" s="9"/>
      <c r="N134" s="9"/>
      <c r="O134" s="9"/>
      <c r="P134" s="9"/>
      <c r="Q134" s="9"/>
    </row>
    <row r="135" spans="2:17" customFormat="1" hidden="1">
      <c r="B135" s="120" t="s">
        <v>330</v>
      </c>
      <c r="C135" s="221" t="s">
        <v>1450</v>
      </c>
      <c r="D135" s="219" t="s">
        <v>235</v>
      </c>
      <c r="E135" s="243" t="s">
        <v>236</v>
      </c>
      <c r="F135" s="216">
        <v>711402</v>
      </c>
      <c r="G135" s="216" t="s">
        <v>854</v>
      </c>
      <c r="H135" s="120" t="s">
        <v>1324</v>
      </c>
      <c r="I135" s="409">
        <v>1</v>
      </c>
      <c r="J135" s="141" t="s">
        <v>547</v>
      </c>
      <c r="K135" s="242" t="s">
        <v>41</v>
      </c>
      <c r="L135" s="22"/>
      <c r="M135" s="286"/>
      <c r="N135" s="286"/>
      <c r="O135" s="286"/>
      <c r="P135" s="286"/>
      <c r="Q135" s="286"/>
    </row>
    <row r="136" spans="2:17" customFormat="1" hidden="1">
      <c r="B136" s="120" t="s">
        <v>331</v>
      </c>
      <c r="C136" s="221" t="s">
        <v>1450</v>
      </c>
      <c r="D136" s="219" t="s">
        <v>235</v>
      </c>
      <c r="E136" s="198" t="s">
        <v>52</v>
      </c>
      <c r="F136" s="335">
        <v>721306</v>
      </c>
      <c r="G136" s="120" t="s">
        <v>63</v>
      </c>
      <c r="H136" s="295" t="s">
        <v>1348</v>
      </c>
      <c r="I136" s="410">
        <v>0</v>
      </c>
      <c r="J136" s="198" t="s">
        <v>1465</v>
      </c>
      <c r="K136" s="221" t="s">
        <v>105</v>
      </c>
      <c r="L136" s="22"/>
      <c r="M136" s="286"/>
      <c r="N136" s="286"/>
      <c r="O136" s="286"/>
      <c r="P136" s="286"/>
      <c r="Q136" s="286"/>
    </row>
    <row r="137" spans="2:17" customFormat="1" hidden="1">
      <c r="B137" s="120" t="s">
        <v>332</v>
      </c>
      <c r="C137" s="122" t="s">
        <v>534</v>
      </c>
      <c r="D137" s="8" t="s">
        <v>535</v>
      </c>
      <c r="E137" s="221" t="s">
        <v>80</v>
      </c>
      <c r="F137" s="216">
        <v>512001</v>
      </c>
      <c r="G137" s="205" t="s">
        <v>81</v>
      </c>
      <c r="H137" s="120" t="s">
        <v>1350</v>
      </c>
      <c r="I137" s="200">
        <v>9</v>
      </c>
      <c r="J137" s="198" t="s">
        <v>1465</v>
      </c>
      <c r="K137" s="122" t="s">
        <v>105</v>
      </c>
      <c r="L137" s="22"/>
      <c r="M137" s="9"/>
      <c r="N137" s="9"/>
      <c r="O137" s="9"/>
      <c r="P137" s="9"/>
      <c r="Q137" s="9"/>
    </row>
    <row r="138" spans="2:17" customFormat="1" hidden="1">
      <c r="B138" s="120" t="s">
        <v>333</v>
      </c>
      <c r="C138" s="122" t="s">
        <v>534</v>
      </c>
      <c r="D138" s="8" t="s">
        <v>535</v>
      </c>
      <c r="E138" s="221" t="s">
        <v>76</v>
      </c>
      <c r="F138" s="216">
        <v>514101</v>
      </c>
      <c r="G138" s="205" t="s">
        <v>77</v>
      </c>
      <c r="H138" s="120" t="s">
        <v>1350</v>
      </c>
      <c r="I138" s="200">
        <v>9</v>
      </c>
      <c r="J138" s="198" t="s">
        <v>1465</v>
      </c>
      <c r="K138" s="122" t="s">
        <v>105</v>
      </c>
      <c r="L138" s="22"/>
      <c r="M138" s="9"/>
      <c r="N138" s="9"/>
      <c r="O138" s="9"/>
      <c r="P138" s="9"/>
      <c r="Q138" s="9"/>
    </row>
    <row r="139" spans="2:17" customFormat="1">
      <c r="B139" s="120" t="s">
        <v>334</v>
      </c>
      <c r="C139" s="122" t="s">
        <v>534</v>
      </c>
      <c r="D139" s="8" t="s">
        <v>535</v>
      </c>
      <c r="E139" s="321" t="s">
        <v>45</v>
      </c>
      <c r="F139" s="216">
        <v>522301</v>
      </c>
      <c r="G139" s="205" t="s">
        <v>43</v>
      </c>
      <c r="H139" s="120" t="s">
        <v>1344</v>
      </c>
      <c r="I139" s="200">
        <v>4</v>
      </c>
      <c r="J139" s="198" t="s">
        <v>1465</v>
      </c>
      <c r="K139" s="122" t="s">
        <v>105</v>
      </c>
      <c r="L139" s="22"/>
      <c r="M139" s="9"/>
      <c r="N139" s="9"/>
      <c r="O139" s="9"/>
      <c r="P139" s="9"/>
      <c r="Q139" s="9"/>
    </row>
    <row r="140" spans="2:17" customFormat="1" hidden="1">
      <c r="B140" s="120" t="s">
        <v>335</v>
      </c>
      <c r="C140" s="122" t="s">
        <v>534</v>
      </c>
      <c r="D140" s="8" t="s">
        <v>535</v>
      </c>
      <c r="E140" s="221" t="s">
        <v>1451</v>
      </c>
      <c r="F140" s="216">
        <v>723103</v>
      </c>
      <c r="G140" s="216" t="s">
        <v>75</v>
      </c>
      <c r="H140" s="120" t="s">
        <v>2396</v>
      </c>
      <c r="I140" s="200">
        <v>17</v>
      </c>
      <c r="J140" s="198" t="s">
        <v>1465</v>
      </c>
      <c r="K140" s="122" t="s">
        <v>105</v>
      </c>
      <c r="L140" s="22"/>
      <c r="M140" s="9"/>
      <c r="N140" s="9"/>
      <c r="O140" s="9"/>
      <c r="P140" s="9"/>
      <c r="Q140" s="9"/>
    </row>
    <row r="141" spans="2:17" customFormat="1" hidden="1">
      <c r="B141" s="120" t="s">
        <v>336</v>
      </c>
      <c r="C141" s="122" t="s">
        <v>534</v>
      </c>
      <c r="D141" s="8" t="s">
        <v>535</v>
      </c>
      <c r="E141" s="221" t="s">
        <v>215</v>
      </c>
      <c r="F141" s="216">
        <v>751201</v>
      </c>
      <c r="G141" s="216" t="s">
        <v>183</v>
      </c>
      <c r="H141" s="120" t="s">
        <v>2394</v>
      </c>
      <c r="I141" s="200">
        <v>3</v>
      </c>
      <c r="J141" s="198" t="s">
        <v>1465</v>
      </c>
      <c r="K141" s="122" t="s">
        <v>105</v>
      </c>
      <c r="L141" s="22"/>
      <c r="M141" s="9"/>
      <c r="N141" s="9"/>
      <c r="O141" s="9"/>
      <c r="P141" s="9"/>
      <c r="Q141" s="9"/>
    </row>
    <row r="142" spans="2:17" customFormat="1" hidden="1">
      <c r="B142" s="120" t="s">
        <v>337</v>
      </c>
      <c r="C142" s="122" t="s">
        <v>534</v>
      </c>
      <c r="D142" s="8" t="s">
        <v>535</v>
      </c>
      <c r="E142" s="136" t="s">
        <v>87</v>
      </c>
      <c r="F142" s="57">
        <v>741103</v>
      </c>
      <c r="G142" s="223" t="s">
        <v>54</v>
      </c>
      <c r="H142" s="120" t="s">
        <v>1345</v>
      </c>
      <c r="I142" s="200">
        <v>1</v>
      </c>
      <c r="J142" s="198" t="s">
        <v>1465</v>
      </c>
      <c r="K142" s="122" t="s">
        <v>105</v>
      </c>
      <c r="L142" s="22"/>
      <c r="M142" s="9"/>
      <c r="N142" s="9"/>
      <c r="O142" s="9"/>
      <c r="P142" s="9"/>
      <c r="Q142" s="9"/>
    </row>
    <row r="143" spans="2:17" customFormat="1" hidden="1">
      <c r="B143" s="120" t="s">
        <v>338</v>
      </c>
      <c r="C143" s="122" t="s">
        <v>534</v>
      </c>
      <c r="D143" s="8" t="s">
        <v>535</v>
      </c>
      <c r="E143" s="198" t="s">
        <v>198</v>
      </c>
      <c r="F143" s="57">
        <v>712618</v>
      </c>
      <c r="G143" s="57" t="s">
        <v>86</v>
      </c>
      <c r="H143" s="115" t="s">
        <v>1348</v>
      </c>
      <c r="I143" s="200">
        <v>2</v>
      </c>
      <c r="J143" s="198" t="s">
        <v>1465</v>
      </c>
      <c r="K143" s="122" t="s">
        <v>105</v>
      </c>
      <c r="L143" s="22"/>
      <c r="M143" s="9"/>
      <c r="N143" s="9"/>
      <c r="O143" s="9"/>
      <c r="P143" s="9"/>
      <c r="Q143" s="9"/>
    </row>
    <row r="144" spans="2:17" customFormat="1" hidden="1">
      <c r="B144" s="120" t="s">
        <v>339</v>
      </c>
      <c r="C144" s="122" t="s">
        <v>534</v>
      </c>
      <c r="D144" s="8" t="s">
        <v>535</v>
      </c>
      <c r="E144" s="303" t="s">
        <v>57</v>
      </c>
      <c r="F144" s="216">
        <v>751204</v>
      </c>
      <c r="G144" s="199" t="s">
        <v>68</v>
      </c>
      <c r="H144" s="120" t="s">
        <v>2396</v>
      </c>
      <c r="I144" s="200">
        <v>10</v>
      </c>
      <c r="J144" s="198" t="s">
        <v>1465</v>
      </c>
      <c r="K144" s="122" t="s">
        <v>105</v>
      </c>
      <c r="L144" s="22"/>
      <c r="M144" s="9"/>
      <c r="N144" s="9"/>
      <c r="O144" s="9"/>
      <c r="P144" s="9"/>
      <c r="Q144" s="9"/>
    </row>
    <row r="145" spans="2:17" customFormat="1" hidden="1">
      <c r="B145" s="120" t="s">
        <v>340</v>
      </c>
      <c r="C145" s="122" t="s">
        <v>534</v>
      </c>
      <c r="D145" s="8" t="s">
        <v>535</v>
      </c>
      <c r="E145" s="221" t="s">
        <v>536</v>
      </c>
      <c r="F145" s="216">
        <v>711301</v>
      </c>
      <c r="G145" s="216" t="s">
        <v>537</v>
      </c>
      <c r="H145" s="120" t="s">
        <v>1324</v>
      </c>
      <c r="I145" s="200">
        <v>3</v>
      </c>
      <c r="J145" s="141" t="s">
        <v>547</v>
      </c>
      <c r="K145" s="221" t="s">
        <v>41</v>
      </c>
      <c r="L145" s="22"/>
      <c r="M145" s="9"/>
      <c r="N145" s="9"/>
      <c r="O145" s="9"/>
      <c r="P145" s="9"/>
      <c r="Q145" s="9"/>
    </row>
    <row r="146" spans="2:17" customFormat="1" hidden="1">
      <c r="B146" s="120" t="s">
        <v>341</v>
      </c>
      <c r="C146" s="122" t="s">
        <v>534</v>
      </c>
      <c r="D146" s="8" t="s">
        <v>535</v>
      </c>
      <c r="E146" s="221" t="s">
        <v>1452</v>
      </c>
      <c r="F146" s="57">
        <v>722204</v>
      </c>
      <c r="G146" s="57" t="s">
        <v>185</v>
      </c>
      <c r="H146" s="348" t="s">
        <v>1350</v>
      </c>
      <c r="I146" s="317">
        <v>0</v>
      </c>
      <c r="J146" s="198" t="s">
        <v>1465</v>
      </c>
      <c r="K146" s="122" t="s">
        <v>105</v>
      </c>
      <c r="L146" s="22"/>
      <c r="M146" s="9"/>
      <c r="N146" s="9"/>
      <c r="O146" s="9"/>
      <c r="P146" s="9"/>
      <c r="Q146" s="9"/>
    </row>
    <row r="147" spans="2:17" customFormat="1" hidden="1">
      <c r="B147" s="120" t="s">
        <v>342</v>
      </c>
      <c r="C147" s="122" t="s">
        <v>1453</v>
      </c>
      <c r="D147" s="8" t="s">
        <v>498</v>
      </c>
      <c r="E147" s="198" t="s">
        <v>85</v>
      </c>
      <c r="F147" s="199">
        <v>721306</v>
      </c>
      <c r="G147" s="120" t="s">
        <v>63</v>
      </c>
      <c r="H147" s="349" t="s">
        <v>2397</v>
      </c>
      <c r="I147" s="200">
        <v>1</v>
      </c>
      <c r="J147" s="198" t="s">
        <v>1465</v>
      </c>
      <c r="K147" s="221" t="s">
        <v>105</v>
      </c>
      <c r="L147" s="22"/>
      <c r="M147" s="9"/>
      <c r="N147" s="9"/>
      <c r="O147" s="9"/>
      <c r="P147" s="9"/>
      <c r="Q147" s="9"/>
    </row>
    <row r="148" spans="2:17" customFormat="1" hidden="1">
      <c r="B148" s="120" t="s">
        <v>343</v>
      </c>
      <c r="C148" s="122" t="s">
        <v>1453</v>
      </c>
      <c r="D148" s="8" t="s">
        <v>498</v>
      </c>
      <c r="E148" s="198" t="s">
        <v>37</v>
      </c>
      <c r="F148" s="199">
        <v>751201</v>
      </c>
      <c r="G148" s="199" t="s">
        <v>183</v>
      </c>
      <c r="H148" s="120" t="s">
        <v>2394</v>
      </c>
      <c r="I148" s="200">
        <v>4</v>
      </c>
      <c r="J148" s="198" t="s">
        <v>1465</v>
      </c>
      <c r="K148" s="122" t="s">
        <v>105</v>
      </c>
      <c r="L148" s="22"/>
      <c r="M148" s="9"/>
      <c r="N148" s="9"/>
      <c r="O148" s="9"/>
      <c r="P148" s="9"/>
      <c r="Q148" s="9"/>
    </row>
    <row r="149" spans="2:17" customFormat="1" hidden="1">
      <c r="B149" s="120" t="s">
        <v>344</v>
      </c>
      <c r="C149" s="122" t="s">
        <v>1453</v>
      </c>
      <c r="D149" s="8" t="s">
        <v>498</v>
      </c>
      <c r="E149" s="136" t="s">
        <v>87</v>
      </c>
      <c r="F149" s="199">
        <v>741102</v>
      </c>
      <c r="G149" s="199" t="s">
        <v>54</v>
      </c>
      <c r="H149" s="120" t="s">
        <v>1345</v>
      </c>
      <c r="I149" s="200">
        <v>7</v>
      </c>
      <c r="J149" s="198" t="s">
        <v>1465</v>
      </c>
      <c r="K149" s="221" t="s">
        <v>105</v>
      </c>
      <c r="L149" s="22"/>
      <c r="M149" s="9"/>
      <c r="N149" s="9"/>
      <c r="O149" s="9"/>
      <c r="P149" s="9"/>
      <c r="Q149" s="9"/>
    </row>
    <row r="150" spans="2:17" customFormat="1" hidden="1">
      <c r="B150" s="120" t="s">
        <v>345</v>
      </c>
      <c r="C150" s="122" t="s">
        <v>1453</v>
      </c>
      <c r="D150" s="8" t="s">
        <v>498</v>
      </c>
      <c r="E150" s="243" t="s">
        <v>55</v>
      </c>
      <c r="F150" s="199">
        <v>343101</v>
      </c>
      <c r="G150" s="199" t="s">
        <v>65</v>
      </c>
      <c r="H150" s="158" t="s">
        <v>2346</v>
      </c>
      <c r="I150" s="200">
        <v>1</v>
      </c>
      <c r="J150" s="141" t="s">
        <v>547</v>
      </c>
      <c r="K150" s="221" t="s">
        <v>41</v>
      </c>
      <c r="L150" s="25"/>
      <c r="M150" s="9"/>
      <c r="N150" s="9"/>
      <c r="O150" s="9"/>
      <c r="P150" s="9"/>
      <c r="Q150" s="9"/>
    </row>
    <row r="151" spans="2:17" customFormat="1" hidden="1">
      <c r="B151" s="120" t="s">
        <v>346</v>
      </c>
      <c r="C151" s="122" t="s">
        <v>1453</v>
      </c>
      <c r="D151" s="8" t="s">
        <v>498</v>
      </c>
      <c r="E151" s="198" t="s">
        <v>36</v>
      </c>
      <c r="F151" s="199">
        <v>514101</v>
      </c>
      <c r="G151" s="205" t="s">
        <v>77</v>
      </c>
      <c r="H151" s="183" t="s">
        <v>1342</v>
      </c>
      <c r="I151" s="200">
        <v>21</v>
      </c>
      <c r="J151" s="198" t="s">
        <v>499</v>
      </c>
      <c r="K151" s="122" t="s">
        <v>945</v>
      </c>
      <c r="L151" s="25"/>
      <c r="M151" s="9"/>
      <c r="N151" s="9"/>
      <c r="O151" s="9"/>
      <c r="P151" s="9"/>
      <c r="Q151" s="9"/>
    </row>
    <row r="152" spans="2:17" customFormat="1" hidden="1">
      <c r="B152" s="120" t="s">
        <v>347</v>
      </c>
      <c r="C152" s="122" t="s">
        <v>1453</v>
      </c>
      <c r="D152" s="8" t="s">
        <v>498</v>
      </c>
      <c r="E152" s="198" t="s">
        <v>1435</v>
      </c>
      <c r="F152" s="199">
        <v>713201</v>
      </c>
      <c r="G152" s="199" t="s">
        <v>66</v>
      </c>
      <c r="H152" s="349" t="s">
        <v>2396</v>
      </c>
      <c r="I152" s="200">
        <v>2</v>
      </c>
      <c r="J152" s="198" t="s">
        <v>1465</v>
      </c>
      <c r="K152" s="221" t="s">
        <v>105</v>
      </c>
      <c r="L152" s="25"/>
      <c r="M152" s="9"/>
      <c r="N152" s="9"/>
      <c r="O152" s="9"/>
      <c r="P152" s="9"/>
      <c r="Q152" s="9"/>
    </row>
    <row r="153" spans="2:17" customFormat="1" hidden="1">
      <c r="B153" s="120" t="s">
        <v>348</v>
      </c>
      <c r="C153" s="122" t="s">
        <v>1453</v>
      </c>
      <c r="D153" s="8" t="s">
        <v>498</v>
      </c>
      <c r="E153" s="198" t="s">
        <v>34</v>
      </c>
      <c r="F153" s="199">
        <v>723103</v>
      </c>
      <c r="G153" s="199" t="s">
        <v>75</v>
      </c>
      <c r="H153" s="183" t="s">
        <v>1342</v>
      </c>
      <c r="I153" s="200">
        <v>21</v>
      </c>
      <c r="J153" s="198" t="s">
        <v>499</v>
      </c>
      <c r="K153" s="122" t="s">
        <v>945</v>
      </c>
      <c r="L153" s="25"/>
      <c r="M153" s="9"/>
      <c r="N153" s="9"/>
      <c r="O153" s="9"/>
      <c r="P153" s="9"/>
      <c r="Q153" s="9"/>
    </row>
    <row r="154" spans="2:17" customFormat="1" hidden="1">
      <c r="B154" s="120" t="s">
        <v>349</v>
      </c>
      <c r="C154" s="122" t="s">
        <v>1453</v>
      </c>
      <c r="D154" s="8" t="s">
        <v>498</v>
      </c>
      <c r="E154" s="198" t="s">
        <v>198</v>
      </c>
      <c r="F154" s="199">
        <v>712618</v>
      </c>
      <c r="G154" s="211" t="s">
        <v>86</v>
      </c>
      <c r="H154" s="115" t="s">
        <v>1348</v>
      </c>
      <c r="I154" s="200">
        <v>9</v>
      </c>
      <c r="J154" s="198" t="s">
        <v>1465</v>
      </c>
      <c r="K154" s="221" t="s">
        <v>105</v>
      </c>
      <c r="L154" s="25"/>
      <c r="M154" s="9"/>
      <c r="N154" s="9"/>
      <c r="O154" s="9"/>
      <c r="P154" s="9"/>
      <c r="Q154" s="9"/>
    </row>
    <row r="155" spans="2:17" customFormat="1" hidden="1">
      <c r="B155" s="120" t="s">
        <v>350</v>
      </c>
      <c r="C155" s="122" t="s">
        <v>1453</v>
      </c>
      <c r="D155" s="8" t="s">
        <v>498</v>
      </c>
      <c r="E155" s="198" t="s">
        <v>39</v>
      </c>
      <c r="F155" s="199">
        <v>711204</v>
      </c>
      <c r="G155" s="199" t="s">
        <v>106</v>
      </c>
      <c r="H155" s="120" t="s">
        <v>2396</v>
      </c>
      <c r="I155" s="200">
        <v>4</v>
      </c>
      <c r="J155" s="198" t="s">
        <v>1465</v>
      </c>
      <c r="K155" s="221" t="s">
        <v>105</v>
      </c>
      <c r="L155" s="20"/>
      <c r="M155" s="9"/>
      <c r="N155" s="9"/>
      <c r="O155" s="9"/>
      <c r="P155" s="9"/>
      <c r="Q155" s="9"/>
    </row>
    <row r="156" spans="2:17" customFormat="1">
      <c r="B156" s="120" t="s">
        <v>351</v>
      </c>
      <c r="C156" s="122" t="s">
        <v>1453</v>
      </c>
      <c r="D156" s="8" t="s">
        <v>498</v>
      </c>
      <c r="E156" s="321" t="s">
        <v>45</v>
      </c>
      <c r="F156" s="216">
        <v>522301</v>
      </c>
      <c r="G156" s="205" t="s">
        <v>43</v>
      </c>
      <c r="H156" s="120" t="s">
        <v>1349</v>
      </c>
      <c r="I156" s="200">
        <v>11</v>
      </c>
      <c r="J156" s="198" t="s">
        <v>1465</v>
      </c>
      <c r="K156" s="221" t="s">
        <v>105</v>
      </c>
      <c r="L156" s="20"/>
      <c r="M156" s="9"/>
      <c r="N156" s="9"/>
      <c r="O156" s="9"/>
      <c r="P156" s="9"/>
      <c r="Q156" s="9"/>
    </row>
    <row r="157" spans="2:17" ht="30" hidden="1">
      <c r="B157" s="120" t="s">
        <v>352</v>
      </c>
      <c r="C157" s="207" t="s">
        <v>1454</v>
      </c>
      <c r="D157" s="120" t="s">
        <v>252</v>
      </c>
      <c r="E157" s="303" t="s">
        <v>44</v>
      </c>
      <c r="F157" s="199">
        <v>512001</v>
      </c>
      <c r="G157" s="205" t="s">
        <v>81</v>
      </c>
      <c r="H157" s="220" t="s">
        <v>2256</v>
      </c>
      <c r="I157" s="200">
        <v>6</v>
      </c>
      <c r="J157" s="278" t="s">
        <v>116</v>
      </c>
      <c r="K157" s="207" t="s">
        <v>942</v>
      </c>
      <c r="L157" s="20"/>
      <c r="M157" s="195"/>
      <c r="N157" s="195"/>
      <c r="O157" s="195"/>
      <c r="P157" s="195"/>
      <c r="Q157" s="195"/>
    </row>
    <row r="158" spans="2:17" ht="45">
      <c r="B158" s="120" t="s">
        <v>353</v>
      </c>
      <c r="C158" s="207" t="s">
        <v>1454</v>
      </c>
      <c r="D158" s="120" t="s">
        <v>252</v>
      </c>
      <c r="E158" s="321" t="s">
        <v>45</v>
      </c>
      <c r="F158" s="199">
        <v>522301</v>
      </c>
      <c r="G158" s="205" t="s">
        <v>43</v>
      </c>
      <c r="H158" s="155" t="s">
        <v>2254</v>
      </c>
      <c r="I158" s="200">
        <v>11</v>
      </c>
      <c r="J158" s="278" t="s">
        <v>116</v>
      </c>
      <c r="K158" s="207" t="s">
        <v>942</v>
      </c>
      <c r="L158" s="22"/>
      <c r="M158" s="195"/>
      <c r="N158" s="195"/>
      <c r="O158" s="195"/>
      <c r="P158" s="195"/>
      <c r="Q158" s="195"/>
    </row>
    <row r="159" spans="2:17" ht="30" hidden="1">
      <c r="B159" s="120" t="s">
        <v>354</v>
      </c>
      <c r="C159" s="207" t="s">
        <v>1454</v>
      </c>
      <c r="D159" s="120" t="s">
        <v>252</v>
      </c>
      <c r="E159" s="303" t="s">
        <v>37</v>
      </c>
      <c r="F159" s="199">
        <v>751201</v>
      </c>
      <c r="G159" s="199" t="s">
        <v>183</v>
      </c>
      <c r="H159" s="155" t="s">
        <v>2257</v>
      </c>
      <c r="I159" s="200">
        <v>18</v>
      </c>
      <c r="J159" s="278" t="s">
        <v>116</v>
      </c>
      <c r="K159" s="207" t="s">
        <v>942</v>
      </c>
      <c r="L159" s="22"/>
      <c r="M159" s="195"/>
      <c r="N159" s="195"/>
      <c r="O159" s="195"/>
      <c r="P159" s="195"/>
      <c r="Q159" s="195"/>
    </row>
    <row r="160" spans="2:17" hidden="1">
      <c r="B160" s="120" t="s">
        <v>355</v>
      </c>
      <c r="C160" s="207" t="s">
        <v>1454</v>
      </c>
      <c r="D160" s="120" t="s">
        <v>252</v>
      </c>
      <c r="E160" s="303" t="s">
        <v>57</v>
      </c>
      <c r="F160" s="199">
        <v>751204</v>
      </c>
      <c r="G160" s="199" t="s">
        <v>68</v>
      </c>
      <c r="H160" s="120" t="s">
        <v>1421</v>
      </c>
      <c r="I160" s="200">
        <v>3</v>
      </c>
      <c r="J160" s="278" t="s">
        <v>116</v>
      </c>
      <c r="K160" s="207" t="s">
        <v>942</v>
      </c>
      <c r="L160" s="22"/>
      <c r="M160" s="195"/>
      <c r="N160" s="195"/>
      <c r="O160" s="195"/>
      <c r="P160" s="195"/>
      <c r="Q160" s="195"/>
    </row>
    <row r="161" spans="2:17" ht="45" hidden="1">
      <c r="B161" s="120" t="s">
        <v>356</v>
      </c>
      <c r="C161" s="207" t="s">
        <v>1454</v>
      </c>
      <c r="D161" s="120" t="s">
        <v>252</v>
      </c>
      <c r="E161" s="303" t="s">
        <v>36</v>
      </c>
      <c r="F161" s="199">
        <v>514101</v>
      </c>
      <c r="G161" s="205" t="s">
        <v>77</v>
      </c>
      <c r="H161" s="155" t="s">
        <v>2253</v>
      </c>
      <c r="I161" s="200">
        <v>15</v>
      </c>
      <c r="J161" s="278" t="s">
        <v>116</v>
      </c>
      <c r="K161" s="207" t="s">
        <v>942</v>
      </c>
      <c r="L161" s="22"/>
      <c r="M161" s="195"/>
      <c r="N161" s="195"/>
      <c r="O161" s="195"/>
      <c r="P161" s="195"/>
      <c r="Q161" s="195"/>
    </row>
    <row r="162" spans="2:17" customFormat="1" hidden="1">
      <c r="B162" s="120" t="s">
        <v>357</v>
      </c>
      <c r="C162" s="122" t="s">
        <v>1454</v>
      </c>
      <c r="D162" s="8" t="s">
        <v>252</v>
      </c>
      <c r="E162" s="243" t="s">
        <v>55</v>
      </c>
      <c r="F162" s="199">
        <v>343101</v>
      </c>
      <c r="G162" s="199" t="s">
        <v>65</v>
      </c>
      <c r="H162" s="158" t="s">
        <v>2346</v>
      </c>
      <c r="I162" s="200">
        <v>3</v>
      </c>
      <c r="J162" s="141" t="s">
        <v>547</v>
      </c>
      <c r="K162" s="221" t="s">
        <v>41</v>
      </c>
      <c r="L162" s="22"/>
      <c r="M162" s="9"/>
      <c r="N162" s="9"/>
      <c r="O162" s="9"/>
      <c r="P162" s="9"/>
      <c r="Q162" s="9"/>
    </row>
    <row r="163" spans="2:17" customFormat="1" hidden="1">
      <c r="B163" s="120" t="s">
        <v>358</v>
      </c>
      <c r="C163" s="122" t="s">
        <v>1454</v>
      </c>
      <c r="D163" s="8" t="s">
        <v>252</v>
      </c>
      <c r="E163" s="198" t="s">
        <v>34</v>
      </c>
      <c r="F163" s="199">
        <v>723103</v>
      </c>
      <c r="G163" s="199" t="s">
        <v>75</v>
      </c>
      <c r="H163" s="120" t="s">
        <v>1413</v>
      </c>
      <c r="I163" s="200">
        <v>6</v>
      </c>
      <c r="J163" s="172" t="s">
        <v>2255</v>
      </c>
      <c r="K163" s="221" t="s">
        <v>579</v>
      </c>
      <c r="L163" s="22"/>
      <c r="M163" s="9"/>
      <c r="N163" s="9"/>
      <c r="O163" s="9"/>
      <c r="P163" s="9"/>
      <c r="Q163" s="9"/>
    </row>
    <row r="164" spans="2:17" customFormat="1">
      <c r="B164" s="120" t="s">
        <v>359</v>
      </c>
      <c r="C164" s="122" t="s">
        <v>1455</v>
      </c>
      <c r="D164" s="8" t="s">
        <v>256</v>
      </c>
      <c r="E164" s="321" t="s">
        <v>45</v>
      </c>
      <c r="F164" s="199">
        <v>522301</v>
      </c>
      <c r="G164" s="205" t="s">
        <v>43</v>
      </c>
      <c r="H164" s="120" t="s">
        <v>1344</v>
      </c>
      <c r="I164" s="200">
        <v>11</v>
      </c>
      <c r="J164" s="198" t="s">
        <v>1465</v>
      </c>
      <c r="K164" s="122" t="s">
        <v>105</v>
      </c>
      <c r="L164" s="22"/>
      <c r="M164" s="9"/>
      <c r="N164" s="9"/>
      <c r="O164" s="9"/>
      <c r="P164" s="9"/>
      <c r="Q164" s="9"/>
    </row>
    <row r="165" spans="2:17" customFormat="1" hidden="1">
      <c r="B165" s="120" t="s">
        <v>360</v>
      </c>
      <c r="C165" s="122" t="s">
        <v>1455</v>
      </c>
      <c r="D165" s="8" t="s">
        <v>256</v>
      </c>
      <c r="E165" s="303" t="s">
        <v>57</v>
      </c>
      <c r="F165" s="199">
        <v>751204</v>
      </c>
      <c r="G165" s="199" t="s">
        <v>68</v>
      </c>
      <c r="H165" s="120" t="s">
        <v>2396</v>
      </c>
      <c r="I165" s="200">
        <v>5</v>
      </c>
      <c r="J165" s="198" t="s">
        <v>1465</v>
      </c>
      <c r="K165" s="122" t="s">
        <v>105</v>
      </c>
      <c r="L165" s="22"/>
      <c r="M165" s="9"/>
      <c r="N165" s="9"/>
      <c r="O165" s="9"/>
      <c r="P165" s="9"/>
      <c r="Q165" s="9"/>
    </row>
    <row r="166" spans="2:17" customFormat="1" hidden="1">
      <c r="B166" s="120" t="s">
        <v>361</v>
      </c>
      <c r="C166" s="122" t="s">
        <v>1455</v>
      </c>
      <c r="D166" s="8" t="s">
        <v>256</v>
      </c>
      <c r="E166" s="198" t="s">
        <v>85</v>
      </c>
      <c r="F166" s="199">
        <v>721306</v>
      </c>
      <c r="G166" s="120" t="s">
        <v>63</v>
      </c>
      <c r="H166" s="349" t="s">
        <v>2397</v>
      </c>
      <c r="I166" s="200">
        <v>2</v>
      </c>
      <c r="J166" s="198" t="s">
        <v>1465</v>
      </c>
      <c r="K166" s="221" t="s">
        <v>105</v>
      </c>
      <c r="L166" s="22"/>
      <c r="M166" s="9"/>
      <c r="N166" s="9"/>
      <c r="O166" s="9"/>
      <c r="P166" s="9"/>
      <c r="Q166" s="9"/>
    </row>
    <row r="167" spans="2:17" customFormat="1" hidden="1">
      <c r="B167" s="120" t="s">
        <v>362</v>
      </c>
      <c r="C167" s="122" t="s">
        <v>1455</v>
      </c>
      <c r="D167" s="8" t="s">
        <v>256</v>
      </c>
      <c r="E167" s="198" t="s">
        <v>114</v>
      </c>
      <c r="F167" s="199">
        <v>514101</v>
      </c>
      <c r="G167" s="205" t="s">
        <v>77</v>
      </c>
      <c r="H167" s="120" t="s">
        <v>1350</v>
      </c>
      <c r="I167" s="200">
        <v>2</v>
      </c>
      <c r="J167" s="198" t="s">
        <v>1465</v>
      </c>
      <c r="K167" s="122" t="s">
        <v>105</v>
      </c>
      <c r="L167" s="22"/>
      <c r="M167" s="9"/>
      <c r="N167" s="9"/>
      <c r="O167" s="9"/>
      <c r="P167" s="9"/>
      <c r="Q167" s="9"/>
    </row>
    <row r="168" spans="2:17" customFormat="1" hidden="1">
      <c r="B168" s="120" t="s">
        <v>363</v>
      </c>
      <c r="C168" s="122" t="s">
        <v>1455</v>
      </c>
      <c r="D168" s="8" t="s">
        <v>256</v>
      </c>
      <c r="E168" s="198" t="s">
        <v>198</v>
      </c>
      <c r="F168" s="199">
        <v>712618</v>
      </c>
      <c r="G168" s="199" t="s">
        <v>86</v>
      </c>
      <c r="H168" s="115" t="s">
        <v>1348</v>
      </c>
      <c r="I168" s="200">
        <v>2</v>
      </c>
      <c r="J168" s="198" t="s">
        <v>1465</v>
      </c>
      <c r="K168" s="122" t="s">
        <v>105</v>
      </c>
      <c r="L168" s="25"/>
      <c r="M168" s="9"/>
      <c r="N168" s="9"/>
      <c r="O168" s="9"/>
      <c r="P168" s="9"/>
      <c r="Q168" s="9"/>
    </row>
    <row r="169" spans="2:17" customFormat="1" hidden="1">
      <c r="B169" s="120" t="s">
        <v>364</v>
      </c>
      <c r="C169" s="122" t="s">
        <v>1455</v>
      </c>
      <c r="D169" s="8" t="s">
        <v>256</v>
      </c>
      <c r="E169" s="198" t="s">
        <v>74</v>
      </c>
      <c r="F169" s="199">
        <v>723103</v>
      </c>
      <c r="G169" s="199" t="s">
        <v>75</v>
      </c>
      <c r="H169" s="158" t="s">
        <v>1350</v>
      </c>
      <c r="I169" s="200">
        <v>1</v>
      </c>
      <c r="J169" s="198" t="s">
        <v>1465</v>
      </c>
      <c r="K169" s="122" t="s">
        <v>105</v>
      </c>
      <c r="L169" s="25"/>
      <c r="M169" s="9"/>
      <c r="N169" s="9"/>
      <c r="O169" s="9"/>
      <c r="P169" s="9"/>
      <c r="Q169" s="9"/>
    </row>
    <row r="170" spans="2:17" customFormat="1" hidden="1">
      <c r="B170" s="120" t="s">
        <v>365</v>
      </c>
      <c r="C170" s="122" t="s">
        <v>1455</v>
      </c>
      <c r="D170" s="8" t="s">
        <v>256</v>
      </c>
      <c r="E170" s="198" t="s">
        <v>39</v>
      </c>
      <c r="F170" s="199">
        <v>711204</v>
      </c>
      <c r="G170" s="199" t="s">
        <v>106</v>
      </c>
      <c r="H170" s="120" t="s">
        <v>2396</v>
      </c>
      <c r="I170" s="200">
        <v>2</v>
      </c>
      <c r="J170" s="198" t="s">
        <v>1465</v>
      </c>
      <c r="K170" s="122" t="s">
        <v>105</v>
      </c>
      <c r="L170" s="25"/>
      <c r="M170" s="9"/>
      <c r="N170" s="9"/>
      <c r="O170" s="9"/>
      <c r="P170" s="9"/>
      <c r="Q170" s="9"/>
    </row>
    <row r="171" spans="2:17" customFormat="1" hidden="1">
      <c r="B171" s="120" t="s">
        <v>366</v>
      </c>
      <c r="C171" s="122" t="s">
        <v>1455</v>
      </c>
      <c r="D171" s="8" t="s">
        <v>256</v>
      </c>
      <c r="E171" s="198" t="s">
        <v>80</v>
      </c>
      <c r="F171" s="199">
        <v>512001</v>
      </c>
      <c r="G171" s="205" t="s">
        <v>81</v>
      </c>
      <c r="H171" s="120" t="s">
        <v>1350</v>
      </c>
      <c r="I171" s="200">
        <v>3</v>
      </c>
      <c r="J171" s="198" t="s">
        <v>1465</v>
      </c>
      <c r="K171" s="122" t="s">
        <v>105</v>
      </c>
      <c r="L171" s="25"/>
      <c r="M171" s="9"/>
      <c r="N171" s="9"/>
      <c r="O171" s="9"/>
      <c r="P171" s="9"/>
      <c r="Q171" s="9"/>
    </row>
    <row r="172" spans="2:17" customFormat="1" hidden="1">
      <c r="B172" s="120" t="s">
        <v>367</v>
      </c>
      <c r="C172" s="122" t="s">
        <v>1455</v>
      </c>
      <c r="D172" s="8" t="s">
        <v>256</v>
      </c>
      <c r="E172" s="198" t="s">
        <v>215</v>
      </c>
      <c r="F172" s="199">
        <v>751201</v>
      </c>
      <c r="G172" s="199" t="s">
        <v>183</v>
      </c>
      <c r="H172" s="120" t="s">
        <v>2394</v>
      </c>
      <c r="I172" s="200">
        <v>1</v>
      </c>
      <c r="J172" s="198" t="s">
        <v>1465</v>
      </c>
      <c r="K172" s="122" t="s">
        <v>105</v>
      </c>
      <c r="L172" s="25"/>
      <c r="M172" s="9"/>
      <c r="N172" s="9"/>
      <c r="O172" s="9"/>
      <c r="P172" s="9"/>
      <c r="Q172" s="9"/>
    </row>
    <row r="173" spans="2:17" customFormat="1" hidden="1">
      <c r="B173" s="120" t="s">
        <v>368</v>
      </c>
      <c r="C173" s="122" t="s">
        <v>1455</v>
      </c>
      <c r="D173" s="8" t="s">
        <v>256</v>
      </c>
      <c r="E173" s="198" t="s">
        <v>1435</v>
      </c>
      <c r="F173" s="199">
        <v>713203</v>
      </c>
      <c r="G173" s="199" t="s">
        <v>66</v>
      </c>
      <c r="H173" s="349" t="s">
        <v>2396</v>
      </c>
      <c r="I173" s="200">
        <v>1</v>
      </c>
      <c r="J173" s="198" t="s">
        <v>1465</v>
      </c>
      <c r="K173" s="221" t="s">
        <v>105</v>
      </c>
      <c r="L173" s="25"/>
      <c r="M173" s="9"/>
      <c r="N173" s="9"/>
      <c r="O173" s="9"/>
      <c r="P173" s="9"/>
      <c r="Q173" s="9"/>
    </row>
    <row r="174" spans="2:17" customFormat="1" hidden="1">
      <c r="B174" s="120" t="s">
        <v>369</v>
      </c>
      <c r="C174" s="122" t="s">
        <v>1455</v>
      </c>
      <c r="D174" s="8" t="s">
        <v>256</v>
      </c>
      <c r="E174" s="198" t="s">
        <v>103</v>
      </c>
      <c r="F174" s="199">
        <v>722307</v>
      </c>
      <c r="G174" s="199" t="s">
        <v>83</v>
      </c>
      <c r="H174" s="348" t="s">
        <v>1350</v>
      </c>
      <c r="I174" s="200">
        <v>1</v>
      </c>
      <c r="J174" s="198" t="s">
        <v>1465</v>
      </c>
      <c r="K174" s="122" t="s">
        <v>105</v>
      </c>
      <c r="L174" s="25"/>
      <c r="M174" s="9"/>
      <c r="N174" s="9"/>
      <c r="O174" s="9"/>
      <c r="P174" s="9"/>
      <c r="Q174" s="9"/>
    </row>
    <row r="175" spans="2:17" customFormat="1" hidden="1">
      <c r="B175" s="120" t="s">
        <v>370</v>
      </c>
      <c r="C175" s="122" t="s">
        <v>1455</v>
      </c>
      <c r="D175" s="8" t="s">
        <v>256</v>
      </c>
      <c r="E175" s="198" t="s">
        <v>91</v>
      </c>
      <c r="F175" s="199">
        <v>752205</v>
      </c>
      <c r="G175" s="199" t="s">
        <v>69</v>
      </c>
      <c r="H175" s="120" t="s">
        <v>1348</v>
      </c>
      <c r="I175" s="200">
        <v>1</v>
      </c>
      <c r="J175" s="198" t="s">
        <v>1465</v>
      </c>
      <c r="K175" s="122" t="s">
        <v>105</v>
      </c>
      <c r="L175" s="25"/>
      <c r="M175" s="9"/>
      <c r="N175" s="9"/>
      <c r="O175" s="9"/>
      <c r="P175" s="9"/>
      <c r="Q175" s="9"/>
    </row>
    <row r="176" spans="2:17" customFormat="1" hidden="1">
      <c r="B176" s="120" t="s">
        <v>371</v>
      </c>
      <c r="C176" s="122" t="s">
        <v>1455</v>
      </c>
      <c r="D176" s="8" t="s">
        <v>256</v>
      </c>
      <c r="E176" s="198" t="s">
        <v>78</v>
      </c>
      <c r="F176" s="199">
        <v>741203</v>
      </c>
      <c r="G176" s="199" t="s">
        <v>64</v>
      </c>
      <c r="H176" s="349" t="s">
        <v>2396</v>
      </c>
      <c r="I176" s="200">
        <v>1</v>
      </c>
      <c r="J176" s="198" t="s">
        <v>1465</v>
      </c>
      <c r="K176" s="122" t="s">
        <v>105</v>
      </c>
      <c r="L176" s="185"/>
      <c r="M176" s="9"/>
      <c r="N176" s="9"/>
      <c r="O176" s="9"/>
      <c r="P176" s="9"/>
      <c r="Q176" s="9"/>
    </row>
    <row r="177" spans="2:19" customFormat="1" hidden="1">
      <c r="B177" s="120" t="s">
        <v>372</v>
      </c>
      <c r="C177" s="122" t="s">
        <v>1455</v>
      </c>
      <c r="D177" s="8" t="s">
        <v>256</v>
      </c>
      <c r="E177" s="198" t="s">
        <v>217</v>
      </c>
      <c r="F177" s="199">
        <v>722204</v>
      </c>
      <c r="G177" s="199" t="s">
        <v>185</v>
      </c>
      <c r="H177" s="348" t="s">
        <v>1350</v>
      </c>
      <c r="I177" s="200">
        <v>1</v>
      </c>
      <c r="J177" s="198" t="s">
        <v>1465</v>
      </c>
      <c r="K177" s="122" t="s">
        <v>105</v>
      </c>
      <c r="L177" s="25"/>
      <c r="M177" s="9"/>
      <c r="N177" s="9"/>
      <c r="O177" s="9"/>
      <c r="P177" s="9"/>
      <c r="Q177" s="9"/>
    </row>
    <row r="178" spans="2:19" ht="30" hidden="1">
      <c r="B178" s="120" t="s">
        <v>373</v>
      </c>
      <c r="C178" s="207" t="s">
        <v>1456</v>
      </c>
      <c r="D178" s="120" t="s">
        <v>528</v>
      </c>
      <c r="E178" s="303" t="s">
        <v>44</v>
      </c>
      <c r="F178" s="199">
        <v>512001</v>
      </c>
      <c r="G178" s="205" t="s">
        <v>81</v>
      </c>
      <c r="H178" s="155" t="s">
        <v>2256</v>
      </c>
      <c r="I178" s="200">
        <v>6</v>
      </c>
      <c r="J178" s="278" t="s">
        <v>116</v>
      </c>
      <c r="K178" s="207" t="s">
        <v>942</v>
      </c>
      <c r="L178" s="25"/>
      <c r="M178" s="195"/>
      <c r="N178" s="195"/>
      <c r="O178" s="195"/>
      <c r="P178" s="195"/>
      <c r="Q178" s="195"/>
    </row>
    <row r="179" spans="2:19" ht="30" hidden="1">
      <c r="B179" s="120" t="s">
        <v>374</v>
      </c>
      <c r="C179" s="207" t="s">
        <v>1456</v>
      </c>
      <c r="D179" s="120" t="s">
        <v>528</v>
      </c>
      <c r="E179" s="303" t="s">
        <v>37</v>
      </c>
      <c r="F179" s="199">
        <v>751201</v>
      </c>
      <c r="G179" s="199" t="s">
        <v>183</v>
      </c>
      <c r="H179" s="155" t="s">
        <v>2285</v>
      </c>
      <c r="I179" s="200">
        <v>17</v>
      </c>
      <c r="J179" s="278" t="s">
        <v>116</v>
      </c>
      <c r="K179" s="207" t="s">
        <v>942</v>
      </c>
      <c r="L179" s="25"/>
      <c r="M179" s="195"/>
      <c r="N179" s="195"/>
      <c r="O179" s="195"/>
      <c r="P179" s="195"/>
      <c r="Q179" s="195"/>
    </row>
    <row r="180" spans="2:19" ht="60">
      <c r="B180" s="120" t="s">
        <v>375</v>
      </c>
      <c r="C180" s="207" t="s">
        <v>1456</v>
      </c>
      <c r="D180" s="120" t="s">
        <v>528</v>
      </c>
      <c r="E180" s="321" t="s">
        <v>45</v>
      </c>
      <c r="F180" s="199">
        <v>522301</v>
      </c>
      <c r="G180" s="205" t="s">
        <v>43</v>
      </c>
      <c r="H180" s="155" t="s">
        <v>1430</v>
      </c>
      <c r="I180" s="200">
        <v>20</v>
      </c>
      <c r="J180" s="278" t="s">
        <v>116</v>
      </c>
      <c r="K180" s="207" t="s">
        <v>942</v>
      </c>
      <c r="L180" s="25"/>
      <c r="M180" s="195"/>
      <c r="N180" s="195"/>
      <c r="O180" s="195"/>
      <c r="P180" s="195"/>
      <c r="Q180" s="195"/>
    </row>
    <row r="181" spans="2:19" customFormat="1">
      <c r="B181" s="120" t="s">
        <v>376</v>
      </c>
      <c r="C181" s="122" t="s">
        <v>1456</v>
      </c>
      <c r="D181" s="8" t="s">
        <v>528</v>
      </c>
      <c r="E181" s="321" t="s">
        <v>45</v>
      </c>
      <c r="F181" s="199">
        <v>522301</v>
      </c>
      <c r="G181" s="205" t="s">
        <v>43</v>
      </c>
      <c r="H181" s="220"/>
      <c r="I181" s="200">
        <v>1</v>
      </c>
      <c r="J181" s="141" t="s">
        <v>61</v>
      </c>
      <c r="K181" s="122" t="s">
        <v>851</v>
      </c>
      <c r="L181" s="25"/>
      <c r="M181" s="9"/>
      <c r="N181" s="9"/>
      <c r="O181" s="9"/>
      <c r="P181" s="9"/>
      <c r="Q181" s="9"/>
    </row>
    <row r="182" spans="2:19" customFormat="1" hidden="1">
      <c r="B182" s="120" t="s">
        <v>377</v>
      </c>
      <c r="C182" s="122" t="s">
        <v>1456</v>
      </c>
      <c r="D182" s="8" t="s">
        <v>528</v>
      </c>
      <c r="E182" s="198" t="s">
        <v>34</v>
      </c>
      <c r="F182" s="199">
        <v>723103</v>
      </c>
      <c r="G182" s="199" t="s">
        <v>75</v>
      </c>
      <c r="H182" s="120" t="s">
        <v>1413</v>
      </c>
      <c r="I182" s="200">
        <v>19</v>
      </c>
      <c r="J182" s="161" t="s">
        <v>566</v>
      </c>
      <c r="K182" s="122" t="s">
        <v>579</v>
      </c>
      <c r="L182" s="25"/>
      <c r="M182" s="9"/>
      <c r="N182" s="9"/>
      <c r="O182" s="9"/>
      <c r="P182" s="9"/>
      <c r="Q182" s="9"/>
    </row>
    <row r="183" spans="2:19" customFormat="1" hidden="1">
      <c r="B183" s="120" t="s">
        <v>378</v>
      </c>
      <c r="C183" s="122" t="s">
        <v>1456</v>
      </c>
      <c r="D183" s="8" t="s">
        <v>528</v>
      </c>
      <c r="E183" s="198" t="s">
        <v>1435</v>
      </c>
      <c r="F183" s="199">
        <v>713203</v>
      </c>
      <c r="G183" s="199" t="s">
        <v>66</v>
      </c>
      <c r="H183" s="120"/>
      <c r="I183" s="200">
        <v>3</v>
      </c>
      <c r="J183" s="141" t="s">
        <v>61</v>
      </c>
      <c r="K183" s="122" t="s">
        <v>851</v>
      </c>
      <c r="L183" s="25"/>
      <c r="M183" s="9"/>
      <c r="N183" s="9"/>
      <c r="O183" s="9"/>
      <c r="P183" s="9"/>
      <c r="Q183" s="9"/>
    </row>
    <row r="184" spans="2:19" customFormat="1" hidden="1">
      <c r="B184" s="120" t="s">
        <v>379</v>
      </c>
      <c r="C184" s="122" t="s">
        <v>1456</v>
      </c>
      <c r="D184" s="8" t="s">
        <v>528</v>
      </c>
      <c r="E184" s="198" t="s">
        <v>33</v>
      </c>
      <c r="F184" s="199">
        <v>752208</v>
      </c>
      <c r="G184" s="199" t="s">
        <v>69</v>
      </c>
      <c r="H184" s="120"/>
      <c r="I184" s="200">
        <v>2</v>
      </c>
      <c r="J184" s="141" t="s">
        <v>61</v>
      </c>
      <c r="K184" s="122" t="s">
        <v>851</v>
      </c>
      <c r="L184" s="25"/>
      <c r="M184" s="9"/>
      <c r="N184" s="9"/>
      <c r="O184" s="9"/>
      <c r="P184" s="9"/>
      <c r="Q184" s="9"/>
    </row>
    <row r="185" spans="2:19" customFormat="1" hidden="1">
      <c r="B185" s="120" t="s">
        <v>380</v>
      </c>
      <c r="C185" s="122" t="s">
        <v>1456</v>
      </c>
      <c r="D185" s="8" t="s">
        <v>528</v>
      </c>
      <c r="E185" s="136" t="s">
        <v>87</v>
      </c>
      <c r="F185" s="199">
        <v>741103</v>
      </c>
      <c r="G185" s="199" t="s">
        <v>54</v>
      </c>
      <c r="H185" s="120"/>
      <c r="I185" s="200">
        <v>2</v>
      </c>
      <c r="J185" s="141" t="s">
        <v>61</v>
      </c>
      <c r="K185" s="122" t="s">
        <v>851</v>
      </c>
      <c r="L185" s="25"/>
      <c r="M185" s="9"/>
      <c r="N185" s="9"/>
      <c r="O185" s="9"/>
      <c r="P185" s="9"/>
      <c r="Q185" s="9"/>
      <c r="S185" t="s">
        <v>1308</v>
      </c>
    </row>
    <row r="186" spans="2:19">
      <c r="B186" s="120" t="s">
        <v>381</v>
      </c>
      <c r="C186" s="207" t="s">
        <v>1458</v>
      </c>
      <c r="D186" s="120" t="s">
        <v>275</v>
      </c>
      <c r="E186" s="321" t="s">
        <v>45</v>
      </c>
      <c r="F186" s="199">
        <v>522301</v>
      </c>
      <c r="G186" s="205" t="s">
        <v>43</v>
      </c>
      <c r="H186" s="120"/>
      <c r="I186" s="342">
        <v>9</v>
      </c>
      <c r="J186" s="278" t="s">
        <v>274</v>
      </c>
      <c r="K186" s="360" t="s">
        <v>275</v>
      </c>
      <c r="L186" s="25"/>
      <c r="M186" s="195"/>
      <c r="N186" s="195"/>
      <c r="O186" s="195"/>
      <c r="P186" s="195"/>
      <c r="Q186" s="195"/>
    </row>
    <row r="187" spans="2:19" hidden="1">
      <c r="B187" s="120" t="s">
        <v>382</v>
      </c>
      <c r="C187" s="207" t="s">
        <v>1458</v>
      </c>
      <c r="D187" s="120" t="s">
        <v>275</v>
      </c>
      <c r="E187" s="303" t="s">
        <v>37</v>
      </c>
      <c r="F187" s="199">
        <v>751201</v>
      </c>
      <c r="G187" s="199" t="s">
        <v>183</v>
      </c>
      <c r="H187" s="120" t="s">
        <v>2287</v>
      </c>
      <c r="I187" s="200">
        <v>1</v>
      </c>
      <c r="J187" s="278" t="s">
        <v>116</v>
      </c>
      <c r="K187" s="207" t="s">
        <v>942</v>
      </c>
      <c r="L187" s="25"/>
      <c r="M187" s="195"/>
      <c r="N187" s="195"/>
      <c r="O187" s="195"/>
      <c r="P187" s="195"/>
      <c r="Q187" s="195"/>
    </row>
    <row r="188" spans="2:19" hidden="1">
      <c r="B188" s="120" t="s">
        <v>383</v>
      </c>
      <c r="C188" s="207" t="s">
        <v>1458</v>
      </c>
      <c r="D188" s="120" t="s">
        <v>275</v>
      </c>
      <c r="E188" s="303" t="s">
        <v>57</v>
      </c>
      <c r="F188" s="199">
        <v>751204</v>
      </c>
      <c r="G188" s="199" t="s">
        <v>68</v>
      </c>
      <c r="H188" s="120" t="s">
        <v>1421</v>
      </c>
      <c r="I188" s="200">
        <v>3</v>
      </c>
      <c r="J188" s="278" t="s">
        <v>116</v>
      </c>
      <c r="K188" s="207" t="s">
        <v>942</v>
      </c>
      <c r="L188" s="25"/>
      <c r="M188" s="195"/>
      <c r="N188" s="195"/>
      <c r="O188" s="195"/>
      <c r="P188" s="195"/>
      <c r="Q188" s="195"/>
    </row>
    <row r="189" spans="2:19" hidden="1">
      <c r="B189" s="120" t="s">
        <v>384</v>
      </c>
      <c r="C189" s="207" t="s">
        <v>1458</v>
      </c>
      <c r="D189" s="120" t="s">
        <v>275</v>
      </c>
      <c r="E189" s="303" t="s">
        <v>44</v>
      </c>
      <c r="F189" s="199">
        <v>512001</v>
      </c>
      <c r="G189" s="205" t="s">
        <v>81</v>
      </c>
      <c r="H189" s="120" t="s">
        <v>1421</v>
      </c>
      <c r="I189" s="200">
        <v>1</v>
      </c>
      <c r="J189" s="278" t="s">
        <v>116</v>
      </c>
      <c r="K189" s="207" t="s">
        <v>942</v>
      </c>
      <c r="L189" s="36"/>
      <c r="M189" s="195"/>
      <c r="N189" s="195"/>
      <c r="O189" s="195"/>
      <c r="P189" s="195"/>
      <c r="Q189" s="195"/>
    </row>
    <row r="190" spans="2:19" ht="30" hidden="1">
      <c r="B190" s="120" t="s">
        <v>385</v>
      </c>
      <c r="C190" s="207" t="s">
        <v>1458</v>
      </c>
      <c r="D190" s="120" t="s">
        <v>275</v>
      </c>
      <c r="E190" s="303" t="s">
        <v>36</v>
      </c>
      <c r="F190" s="199">
        <v>514101</v>
      </c>
      <c r="G190" s="205" t="s">
        <v>77</v>
      </c>
      <c r="H190" s="155" t="s">
        <v>2288</v>
      </c>
      <c r="I190" s="200">
        <v>4</v>
      </c>
      <c r="J190" s="278" t="s">
        <v>116</v>
      </c>
      <c r="K190" s="207" t="s">
        <v>942</v>
      </c>
      <c r="L190" s="36"/>
      <c r="M190" s="195"/>
      <c r="N190" s="195"/>
      <c r="O190" s="195"/>
      <c r="P190" s="195"/>
      <c r="Q190" s="195"/>
    </row>
    <row r="191" spans="2:19" customFormat="1" hidden="1">
      <c r="B191" s="120" t="s">
        <v>386</v>
      </c>
      <c r="C191" s="122" t="s">
        <v>1458</v>
      </c>
      <c r="D191" s="8" t="s">
        <v>275</v>
      </c>
      <c r="E191" s="198" t="s">
        <v>52</v>
      </c>
      <c r="F191" s="199">
        <v>721306</v>
      </c>
      <c r="G191" s="120" t="s">
        <v>63</v>
      </c>
      <c r="H191" s="349" t="s">
        <v>2397</v>
      </c>
      <c r="I191" s="200">
        <v>2</v>
      </c>
      <c r="J191" s="198" t="s">
        <v>1465</v>
      </c>
      <c r="K191" s="221" t="s">
        <v>105</v>
      </c>
      <c r="L191" s="36"/>
      <c r="M191" s="9"/>
      <c r="N191" s="9"/>
      <c r="O191" s="9"/>
      <c r="P191" s="9"/>
      <c r="Q191" s="9"/>
    </row>
    <row r="192" spans="2:19" customFormat="1" hidden="1">
      <c r="B192" s="120" t="s">
        <v>387</v>
      </c>
      <c r="C192" s="122" t="s">
        <v>1458</v>
      </c>
      <c r="D192" s="8" t="s">
        <v>275</v>
      </c>
      <c r="E192" s="198" t="s">
        <v>103</v>
      </c>
      <c r="F192" s="199">
        <v>723307</v>
      </c>
      <c r="G192" s="199" t="s">
        <v>83</v>
      </c>
      <c r="H192" s="348" t="s">
        <v>1350</v>
      </c>
      <c r="I192" s="200">
        <v>1</v>
      </c>
      <c r="J192" s="198" t="s">
        <v>1465</v>
      </c>
      <c r="K192" s="122" t="s">
        <v>105</v>
      </c>
      <c r="L192" s="22"/>
      <c r="M192" s="9"/>
      <c r="N192" s="9"/>
      <c r="O192" s="9"/>
      <c r="P192" s="9"/>
      <c r="Q192" s="9"/>
    </row>
    <row r="193" spans="2:17" customFormat="1" hidden="1">
      <c r="B193" s="120" t="s">
        <v>388</v>
      </c>
      <c r="C193" s="122" t="s">
        <v>1459</v>
      </c>
      <c r="D193" s="8" t="s">
        <v>530</v>
      </c>
      <c r="E193" s="198" t="s">
        <v>233</v>
      </c>
      <c r="F193" s="217">
        <v>514101</v>
      </c>
      <c r="G193" s="205" t="s">
        <v>77</v>
      </c>
      <c r="H193" s="120" t="s">
        <v>1420</v>
      </c>
      <c r="I193" s="200">
        <v>14</v>
      </c>
      <c r="J193" s="172" t="s">
        <v>1174</v>
      </c>
      <c r="K193" s="122" t="s">
        <v>849</v>
      </c>
      <c r="L193" s="22"/>
      <c r="M193" s="9"/>
      <c r="N193" s="9"/>
      <c r="O193" s="9"/>
      <c r="P193" s="9"/>
      <c r="Q193" s="9"/>
    </row>
    <row r="194" spans="2:17" customFormat="1" hidden="1">
      <c r="B194" s="120" t="s">
        <v>389</v>
      </c>
      <c r="C194" s="122" t="s">
        <v>1459</v>
      </c>
      <c r="D194" s="8" t="s">
        <v>530</v>
      </c>
      <c r="E194" s="221" t="s">
        <v>1442</v>
      </c>
      <c r="F194" s="217">
        <v>723103</v>
      </c>
      <c r="G194" s="199" t="s">
        <v>75</v>
      </c>
      <c r="H194" s="120" t="s">
        <v>1420</v>
      </c>
      <c r="I194" s="200">
        <v>16</v>
      </c>
      <c r="J194" s="172" t="s">
        <v>1174</v>
      </c>
      <c r="K194" s="122" t="s">
        <v>849</v>
      </c>
      <c r="L194" s="22"/>
      <c r="M194" s="9"/>
      <c r="N194" s="9"/>
      <c r="O194" s="9"/>
      <c r="P194" s="9"/>
      <c r="Q194" s="9"/>
    </row>
    <row r="195" spans="2:17" customFormat="1" hidden="1">
      <c r="B195" s="120" t="s">
        <v>390</v>
      </c>
      <c r="C195" s="122" t="s">
        <v>1459</v>
      </c>
      <c r="D195" s="8" t="s">
        <v>530</v>
      </c>
      <c r="E195" s="198" t="s">
        <v>539</v>
      </c>
      <c r="F195" s="217">
        <v>512001</v>
      </c>
      <c r="G195" s="205" t="s">
        <v>81</v>
      </c>
      <c r="H195" s="120" t="s">
        <v>1421</v>
      </c>
      <c r="I195" s="200">
        <v>5</v>
      </c>
      <c r="J195" s="172" t="s">
        <v>1174</v>
      </c>
      <c r="K195" s="122" t="s">
        <v>849</v>
      </c>
      <c r="L195" s="22"/>
      <c r="M195" s="9"/>
      <c r="N195" s="9"/>
      <c r="O195" s="9"/>
      <c r="P195" s="9"/>
      <c r="Q195" s="9"/>
    </row>
    <row r="196" spans="2:17" customFormat="1">
      <c r="B196" s="120" t="s">
        <v>391</v>
      </c>
      <c r="C196" s="122" t="s">
        <v>1459</v>
      </c>
      <c r="D196" s="8" t="s">
        <v>530</v>
      </c>
      <c r="E196" s="321" t="s">
        <v>45</v>
      </c>
      <c r="F196" s="217">
        <v>522301</v>
      </c>
      <c r="G196" s="205" t="s">
        <v>43</v>
      </c>
      <c r="H196" s="120" t="s">
        <v>1421</v>
      </c>
      <c r="I196" s="200">
        <v>6</v>
      </c>
      <c r="J196" s="172" t="s">
        <v>1174</v>
      </c>
      <c r="K196" s="122" t="s">
        <v>849</v>
      </c>
      <c r="L196" s="22"/>
      <c r="M196" s="9"/>
      <c r="N196" s="9"/>
      <c r="O196" s="9"/>
      <c r="P196" s="9"/>
      <c r="Q196" s="9"/>
    </row>
    <row r="197" spans="2:17" customFormat="1" hidden="1">
      <c r="B197" s="120" t="s">
        <v>392</v>
      </c>
      <c r="C197" s="122" t="s">
        <v>1459</v>
      </c>
      <c r="D197" s="8" t="s">
        <v>530</v>
      </c>
      <c r="E197" s="198" t="s">
        <v>1460</v>
      </c>
      <c r="F197" s="217">
        <v>751201</v>
      </c>
      <c r="G197" s="218" t="s">
        <v>183</v>
      </c>
      <c r="H197" s="120" t="s">
        <v>2252</v>
      </c>
      <c r="I197" s="200">
        <v>7</v>
      </c>
      <c r="J197" s="172" t="s">
        <v>1174</v>
      </c>
      <c r="K197" s="122" t="s">
        <v>849</v>
      </c>
      <c r="L197" s="22"/>
      <c r="M197" s="9"/>
      <c r="N197" s="9"/>
      <c r="O197" s="9"/>
      <c r="P197" s="9"/>
      <c r="Q197" s="9"/>
    </row>
    <row r="198" spans="2:17" customFormat="1" hidden="1">
      <c r="B198" s="120" t="s">
        <v>393</v>
      </c>
      <c r="C198" s="122" t="s">
        <v>1459</v>
      </c>
      <c r="D198" s="8" t="s">
        <v>530</v>
      </c>
      <c r="E198" s="303" t="s">
        <v>57</v>
      </c>
      <c r="F198" s="217">
        <v>751204</v>
      </c>
      <c r="G198" s="199" t="s">
        <v>68</v>
      </c>
      <c r="H198" s="120" t="s">
        <v>1350</v>
      </c>
      <c r="I198" s="200">
        <v>3</v>
      </c>
      <c r="J198" s="198" t="s">
        <v>1465</v>
      </c>
      <c r="K198" s="122" t="s">
        <v>105</v>
      </c>
      <c r="L198" s="22"/>
      <c r="M198" s="9"/>
      <c r="N198" s="9"/>
      <c r="O198" s="9"/>
      <c r="P198" s="9"/>
      <c r="Q198" s="9"/>
    </row>
    <row r="199" spans="2:17" customFormat="1" hidden="1">
      <c r="B199" s="120" t="s">
        <v>394</v>
      </c>
      <c r="C199" s="122" t="s">
        <v>1459</v>
      </c>
      <c r="D199" s="8" t="s">
        <v>530</v>
      </c>
      <c r="E199" s="198" t="s">
        <v>1461</v>
      </c>
      <c r="F199" s="217">
        <v>962907</v>
      </c>
      <c r="G199" s="218" t="s">
        <v>194</v>
      </c>
      <c r="H199" s="120" t="s">
        <v>2252</v>
      </c>
      <c r="I199" s="200">
        <v>2</v>
      </c>
      <c r="J199" s="172" t="s">
        <v>1174</v>
      </c>
      <c r="K199" s="122" t="s">
        <v>849</v>
      </c>
      <c r="L199" s="22"/>
      <c r="M199" s="9"/>
      <c r="N199" s="9"/>
      <c r="O199" s="9"/>
      <c r="P199" s="9"/>
      <c r="Q199" s="9"/>
    </row>
    <row r="200" spans="2:17" customFormat="1" hidden="1">
      <c r="B200" s="120" t="s">
        <v>395</v>
      </c>
      <c r="C200" s="122" t="s">
        <v>1459</v>
      </c>
      <c r="D200" s="8" t="s">
        <v>530</v>
      </c>
      <c r="E200" s="198" t="s">
        <v>78</v>
      </c>
      <c r="F200" s="217">
        <v>741203</v>
      </c>
      <c r="G200" s="199" t="s">
        <v>64</v>
      </c>
      <c r="H200" s="349" t="s">
        <v>2396</v>
      </c>
      <c r="I200" s="200">
        <v>2</v>
      </c>
      <c r="J200" s="198" t="s">
        <v>1465</v>
      </c>
      <c r="K200" s="221" t="s">
        <v>105</v>
      </c>
      <c r="L200" s="22"/>
      <c r="M200" s="9"/>
      <c r="N200" s="9"/>
      <c r="O200" s="9"/>
      <c r="P200" s="9"/>
      <c r="Q200" s="9"/>
    </row>
    <row r="201" spans="2:17" customFormat="1" hidden="1">
      <c r="B201" s="120" t="s">
        <v>396</v>
      </c>
      <c r="C201" s="122" t="s">
        <v>1459</v>
      </c>
      <c r="D201" s="8" t="s">
        <v>530</v>
      </c>
      <c r="E201" s="198" t="s">
        <v>39</v>
      </c>
      <c r="F201" s="217">
        <v>711204</v>
      </c>
      <c r="G201" s="218" t="s">
        <v>106</v>
      </c>
      <c r="H201" s="120" t="s">
        <v>2396</v>
      </c>
      <c r="I201" s="200">
        <v>1</v>
      </c>
      <c r="J201" s="198" t="s">
        <v>1465</v>
      </c>
      <c r="K201" s="122" t="s">
        <v>105</v>
      </c>
      <c r="L201" s="22"/>
      <c r="M201" s="9"/>
      <c r="N201" s="9"/>
      <c r="O201" s="9"/>
      <c r="P201" s="9"/>
      <c r="Q201" s="9"/>
    </row>
    <row r="202" spans="2:17" customFormat="1" hidden="1">
      <c r="B202" s="120" t="s">
        <v>397</v>
      </c>
      <c r="C202" s="122" t="s">
        <v>1459</v>
      </c>
      <c r="D202" s="8" t="s">
        <v>530</v>
      </c>
      <c r="E202" s="198" t="s">
        <v>1462</v>
      </c>
      <c r="F202" s="217">
        <v>613003</v>
      </c>
      <c r="G202" s="218" t="s">
        <v>542</v>
      </c>
      <c r="H202" s="120"/>
      <c r="I202" s="200">
        <v>1</v>
      </c>
      <c r="J202" s="141" t="s">
        <v>61</v>
      </c>
      <c r="K202" s="122" t="s">
        <v>851</v>
      </c>
      <c r="L202" s="22"/>
      <c r="M202" s="9"/>
      <c r="N202" s="9"/>
      <c r="O202" s="9"/>
      <c r="P202" s="9"/>
      <c r="Q202" s="9"/>
    </row>
    <row r="203" spans="2:17" customFormat="1" hidden="1">
      <c r="B203" s="120" t="s">
        <v>398</v>
      </c>
      <c r="C203" s="122" t="s">
        <v>1459</v>
      </c>
      <c r="D203" s="8" t="s">
        <v>530</v>
      </c>
      <c r="E203" s="198" t="s">
        <v>1435</v>
      </c>
      <c r="F203" s="217">
        <v>713203</v>
      </c>
      <c r="G203" s="199" t="s">
        <v>66</v>
      </c>
      <c r="H203" s="349" t="s">
        <v>2396</v>
      </c>
      <c r="I203" s="200">
        <v>3</v>
      </c>
      <c r="J203" s="198" t="s">
        <v>1465</v>
      </c>
      <c r="K203" s="221" t="s">
        <v>105</v>
      </c>
      <c r="L203" s="22"/>
      <c r="M203" s="9"/>
      <c r="N203" s="9"/>
      <c r="O203" s="9"/>
      <c r="P203" s="9"/>
      <c r="Q203" s="9"/>
    </row>
    <row r="204" spans="2:17" customFormat="1" hidden="1">
      <c r="B204" s="120" t="s">
        <v>399</v>
      </c>
      <c r="C204" s="122" t="s">
        <v>1459</v>
      </c>
      <c r="D204" s="8" t="s">
        <v>530</v>
      </c>
      <c r="E204" s="136" t="s">
        <v>87</v>
      </c>
      <c r="F204" s="199">
        <v>741103</v>
      </c>
      <c r="G204" s="199" t="s">
        <v>54</v>
      </c>
      <c r="H204" s="120" t="s">
        <v>1345</v>
      </c>
      <c r="I204" s="200">
        <v>2</v>
      </c>
      <c r="J204" s="198" t="s">
        <v>1465</v>
      </c>
      <c r="K204" s="122" t="s">
        <v>105</v>
      </c>
      <c r="L204" s="22"/>
      <c r="M204" s="9"/>
      <c r="N204" s="9"/>
      <c r="O204" s="9"/>
      <c r="P204" s="9"/>
      <c r="Q204" s="9"/>
    </row>
    <row r="205" spans="2:17" customFormat="1" hidden="1">
      <c r="B205" s="120" t="s">
        <v>400</v>
      </c>
      <c r="C205" s="122" t="s">
        <v>1463</v>
      </c>
      <c r="D205" s="8" t="s">
        <v>556</v>
      </c>
      <c r="E205" s="198" t="s">
        <v>218</v>
      </c>
      <c r="F205" s="120">
        <v>753402</v>
      </c>
      <c r="G205" s="120" t="s">
        <v>70</v>
      </c>
      <c r="H205" s="120"/>
      <c r="I205" s="200">
        <v>4</v>
      </c>
      <c r="J205" s="141" t="s">
        <v>1177</v>
      </c>
      <c r="K205" s="121" t="s">
        <v>939</v>
      </c>
      <c r="L205" s="22"/>
      <c r="M205" s="9"/>
      <c r="N205" s="9"/>
      <c r="O205" s="9"/>
      <c r="P205" s="9"/>
      <c r="Q205" s="9"/>
    </row>
    <row r="206" spans="2:17" customFormat="1" hidden="1">
      <c r="B206" s="120" t="s">
        <v>401</v>
      </c>
      <c r="C206" s="122" t="s">
        <v>1463</v>
      </c>
      <c r="D206" s="8" t="s">
        <v>556</v>
      </c>
      <c r="E206" s="198" t="s">
        <v>80</v>
      </c>
      <c r="F206" s="120">
        <v>512001</v>
      </c>
      <c r="G206" s="205" t="s">
        <v>81</v>
      </c>
      <c r="H206" s="120" t="s">
        <v>1421</v>
      </c>
      <c r="I206" s="200">
        <v>1</v>
      </c>
      <c r="J206" s="172" t="s">
        <v>1174</v>
      </c>
      <c r="K206" s="122" t="s">
        <v>849</v>
      </c>
      <c r="L206" s="22"/>
      <c r="M206" s="9"/>
      <c r="N206" s="9"/>
      <c r="O206" s="9"/>
      <c r="P206" s="9"/>
      <c r="Q206" s="9"/>
    </row>
    <row r="207" spans="2:17" customFormat="1" hidden="1">
      <c r="B207" s="120" t="s">
        <v>402</v>
      </c>
      <c r="C207" s="122" t="s">
        <v>1463</v>
      </c>
      <c r="D207" s="8" t="s">
        <v>556</v>
      </c>
      <c r="E207" s="198" t="s">
        <v>91</v>
      </c>
      <c r="F207" s="120">
        <v>752205</v>
      </c>
      <c r="G207" s="199" t="s">
        <v>69</v>
      </c>
      <c r="H207" s="120" t="s">
        <v>1348</v>
      </c>
      <c r="I207" s="200">
        <v>1</v>
      </c>
      <c r="J207" s="198" t="s">
        <v>1465</v>
      </c>
      <c r="K207" s="122" t="s">
        <v>105</v>
      </c>
      <c r="L207" s="36"/>
      <c r="M207" s="9"/>
      <c r="N207" s="9"/>
      <c r="O207" s="9"/>
      <c r="P207" s="9"/>
      <c r="Q207" s="9"/>
    </row>
    <row r="208" spans="2:17" customFormat="1" hidden="1">
      <c r="B208" s="120" t="s">
        <v>403</v>
      </c>
      <c r="C208" s="122" t="s">
        <v>1463</v>
      </c>
      <c r="D208" s="8" t="s">
        <v>556</v>
      </c>
      <c r="E208" s="136" t="s">
        <v>87</v>
      </c>
      <c r="F208" s="120">
        <v>741103</v>
      </c>
      <c r="G208" s="120" t="s">
        <v>54</v>
      </c>
      <c r="H208" s="120" t="s">
        <v>1345</v>
      </c>
      <c r="I208" s="200">
        <v>2</v>
      </c>
      <c r="J208" s="198" t="s">
        <v>1465</v>
      </c>
      <c r="K208" s="122" t="s">
        <v>105</v>
      </c>
      <c r="L208" s="36"/>
      <c r="M208" s="9"/>
      <c r="N208" s="9"/>
      <c r="O208" s="9"/>
      <c r="P208" s="9"/>
      <c r="Q208" s="9"/>
    </row>
    <row r="209" spans="2:17" customFormat="1" hidden="1">
      <c r="B209" s="120" t="s">
        <v>404</v>
      </c>
      <c r="C209" s="122" t="s">
        <v>1463</v>
      </c>
      <c r="D209" s="8" t="s">
        <v>556</v>
      </c>
      <c r="E209" s="221" t="s">
        <v>1442</v>
      </c>
      <c r="F209" s="120">
        <v>723103</v>
      </c>
      <c r="G209" s="199" t="s">
        <v>75</v>
      </c>
      <c r="H209" s="120" t="s">
        <v>1420</v>
      </c>
      <c r="I209" s="200">
        <v>4</v>
      </c>
      <c r="J209" s="172" t="s">
        <v>1174</v>
      </c>
      <c r="K209" s="122" t="s">
        <v>849</v>
      </c>
      <c r="L209" s="22"/>
      <c r="M209" s="9"/>
      <c r="N209" s="9"/>
      <c r="O209" s="9"/>
      <c r="P209" s="9"/>
      <c r="Q209" s="9"/>
    </row>
    <row r="210" spans="2:17" customFormat="1">
      <c r="B210" s="120" t="s">
        <v>405</v>
      </c>
      <c r="C210" s="122" t="s">
        <v>1463</v>
      </c>
      <c r="D210" s="8" t="s">
        <v>556</v>
      </c>
      <c r="E210" s="321" t="s">
        <v>45</v>
      </c>
      <c r="F210" s="120">
        <v>522301</v>
      </c>
      <c r="G210" s="205" t="s">
        <v>43</v>
      </c>
      <c r="H210" s="155" t="s">
        <v>1421</v>
      </c>
      <c r="I210" s="200">
        <v>9</v>
      </c>
      <c r="J210" s="172" t="s">
        <v>1174</v>
      </c>
      <c r="K210" s="122" t="s">
        <v>849</v>
      </c>
      <c r="L210" s="22"/>
      <c r="M210" s="9"/>
      <c r="N210" s="9"/>
      <c r="O210" s="9"/>
      <c r="P210" s="9"/>
      <c r="Q210" s="9"/>
    </row>
    <row r="211" spans="2:17" customFormat="1" hidden="1">
      <c r="B211" s="120" t="s">
        <v>406</v>
      </c>
      <c r="C211" s="122" t="s">
        <v>1463</v>
      </c>
      <c r="D211" s="8" t="s">
        <v>556</v>
      </c>
      <c r="E211" s="198" t="s">
        <v>525</v>
      </c>
      <c r="F211" s="120">
        <v>732210</v>
      </c>
      <c r="G211" s="120" t="s">
        <v>858</v>
      </c>
      <c r="H211" s="120"/>
      <c r="I211" s="200">
        <v>1</v>
      </c>
      <c r="J211" s="198" t="s">
        <v>559</v>
      </c>
      <c r="K211" s="122" t="s">
        <v>941</v>
      </c>
      <c r="L211" s="22"/>
      <c r="M211" s="9"/>
      <c r="N211" s="9"/>
      <c r="O211" s="9"/>
      <c r="P211" s="9"/>
      <c r="Q211" s="9"/>
    </row>
    <row r="212" spans="2:17" customFormat="1" hidden="1">
      <c r="B212" s="120" t="s">
        <v>407</v>
      </c>
      <c r="C212" s="122" t="s">
        <v>1463</v>
      </c>
      <c r="D212" s="8" t="s">
        <v>556</v>
      </c>
      <c r="E212" s="243" t="s">
        <v>56</v>
      </c>
      <c r="F212" s="120">
        <v>712905</v>
      </c>
      <c r="G212" s="199" t="s">
        <v>67</v>
      </c>
      <c r="H212" s="158" t="s">
        <v>1320</v>
      </c>
      <c r="I212" s="200">
        <v>1</v>
      </c>
      <c r="J212" s="141" t="s">
        <v>547</v>
      </c>
      <c r="K212" s="221" t="s">
        <v>41</v>
      </c>
      <c r="L212" s="22"/>
      <c r="M212" s="9"/>
      <c r="N212" s="9"/>
      <c r="O212" s="9"/>
      <c r="P212" s="9"/>
      <c r="Q212" s="9"/>
    </row>
    <row r="213" spans="2:17" customFormat="1" hidden="1">
      <c r="B213" s="120" t="s">
        <v>408</v>
      </c>
      <c r="C213" s="122" t="s">
        <v>1463</v>
      </c>
      <c r="D213" s="8" t="s">
        <v>556</v>
      </c>
      <c r="E213" s="198" t="s">
        <v>114</v>
      </c>
      <c r="F213" s="120">
        <v>514101</v>
      </c>
      <c r="G213" s="205" t="s">
        <v>77</v>
      </c>
      <c r="H213" s="120" t="s">
        <v>1420</v>
      </c>
      <c r="I213" s="200">
        <v>3</v>
      </c>
      <c r="J213" s="172" t="s">
        <v>1174</v>
      </c>
      <c r="K213" s="122" t="s">
        <v>849</v>
      </c>
      <c r="L213" s="22"/>
      <c r="M213" s="9"/>
      <c r="N213" s="9"/>
      <c r="O213" s="9"/>
      <c r="P213" s="9"/>
      <c r="Q213" s="9"/>
    </row>
    <row r="214" spans="2:17" customFormat="1" hidden="1">
      <c r="B214" s="120" t="s">
        <v>409</v>
      </c>
      <c r="C214" s="122" t="s">
        <v>1463</v>
      </c>
      <c r="D214" s="8" t="s">
        <v>556</v>
      </c>
      <c r="E214" s="198" t="s">
        <v>39</v>
      </c>
      <c r="F214" s="120">
        <v>711204</v>
      </c>
      <c r="G214" s="199" t="s">
        <v>106</v>
      </c>
      <c r="H214" s="120" t="s">
        <v>2396</v>
      </c>
      <c r="I214" s="200">
        <v>1</v>
      </c>
      <c r="J214" s="198" t="s">
        <v>1465</v>
      </c>
      <c r="K214" s="122" t="s">
        <v>105</v>
      </c>
      <c r="L214" s="22"/>
      <c r="M214" s="9"/>
      <c r="N214" s="9"/>
      <c r="O214" s="9"/>
      <c r="P214" s="9"/>
      <c r="Q214" s="9"/>
    </row>
    <row r="215" spans="2:17" customFormat="1" hidden="1">
      <c r="B215" s="120" t="s">
        <v>410</v>
      </c>
      <c r="C215" s="122" t="s">
        <v>1463</v>
      </c>
      <c r="D215" s="8" t="s">
        <v>556</v>
      </c>
      <c r="E215" s="198" t="s">
        <v>217</v>
      </c>
      <c r="F215" s="120">
        <v>722204</v>
      </c>
      <c r="G215" s="199" t="s">
        <v>185</v>
      </c>
      <c r="H215" s="348" t="s">
        <v>1350</v>
      </c>
      <c r="I215" s="200">
        <v>1</v>
      </c>
      <c r="J215" s="198" t="s">
        <v>1465</v>
      </c>
      <c r="K215" s="122" t="s">
        <v>105</v>
      </c>
      <c r="L215" s="22"/>
      <c r="M215" s="9"/>
      <c r="N215" s="9"/>
      <c r="O215" s="9"/>
      <c r="P215" s="9"/>
      <c r="Q215" s="9"/>
    </row>
    <row r="216" spans="2:17" customFormat="1" hidden="1">
      <c r="B216" s="120" t="s">
        <v>411</v>
      </c>
      <c r="C216" s="122" t="s">
        <v>1463</v>
      </c>
      <c r="D216" s="8" t="s">
        <v>556</v>
      </c>
      <c r="E216" s="198" t="s">
        <v>78</v>
      </c>
      <c r="F216" s="3">
        <v>741203</v>
      </c>
      <c r="G216" s="199" t="s">
        <v>64</v>
      </c>
      <c r="H216" s="349" t="s">
        <v>2396</v>
      </c>
      <c r="I216" s="200">
        <v>1</v>
      </c>
      <c r="J216" s="198" t="s">
        <v>1465</v>
      </c>
      <c r="K216" s="221" t="s">
        <v>105</v>
      </c>
      <c r="L216" s="22"/>
      <c r="M216" s="9"/>
      <c r="N216" s="9"/>
      <c r="O216" s="9"/>
      <c r="P216" s="9"/>
      <c r="Q216" s="9"/>
    </row>
    <row r="217" spans="2:17" customFormat="1" hidden="1">
      <c r="B217" s="120" t="s">
        <v>412</v>
      </c>
      <c r="C217" s="122" t="s">
        <v>1463</v>
      </c>
      <c r="D217" s="8" t="s">
        <v>556</v>
      </c>
      <c r="E217" s="303" t="s">
        <v>57</v>
      </c>
      <c r="F217" s="120">
        <v>751204</v>
      </c>
      <c r="G217" s="199" t="s">
        <v>68</v>
      </c>
      <c r="H217" s="120" t="s">
        <v>2396</v>
      </c>
      <c r="I217" s="200">
        <v>1</v>
      </c>
      <c r="J217" s="198" t="s">
        <v>1465</v>
      </c>
      <c r="K217" s="122" t="s">
        <v>105</v>
      </c>
      <c r="L217" s="22"/>
      <c r="M217" s="9"/>
      <c r="N217" s="9"/>
      <c r="O217" s="9"/>
      <c r="P217" s="9"/>
      <c r="Q217" s="9"/>
    </row>
    <row r="218" spans="2:17" customFormat="1" hidden="1">
      <c r="B218" s="120" t="s">
        <v>413</v>
      </c>
      <c r="C218" s="122" t="s">
        <v>1463</v>
      </c>
      <c r="D218" s="8" t="s">
        <v>556</v>
      </c>
      <c r="E218" s="198" t="s">
        <v>215</v>
      </c>
      <c r="F218" s="217">
        <v>751201</v>
      </c>
      <c r="G218" s="218" t="s">
        <v>183</v>
      </c>
      <c r="H218" s="155" t="s">
        <v>2252</v>
      </c>
      <c r="I218" s="200">
        <v>1</v>
      </c>
      <c r="J218" s="172" t="s">
        <v>1174</v>
      </c>
      <c r="K218" s="122" t="s">
        <v>849</v>
      </c>
      <c r="L218" s="22"/>
      <c r="M218" s="9"/>
      <c r="N218" s="9"/>
      <c r="O218" s="9"/>
      <c r="P218" s="9"/>
      <c r="Q218" s="9"/>
    </row>
    <row r="219" spans="2:17" customFormat="1" hidden="1">
      <c r="B219" s="120" t="s">
        <v>414</v>
      </c>
      <c r="C219" s="122" t="s">
        <v>544</v>
      </c>
      <c r="D219" s="8" t="s">
        <v>545</v>
      </c>
      <c r="E219" s="198" t="s">
        <v>34</v>
      </c>
      <c r="F219" s="199">
        <v>723103</v>
      </c>
      <c r="G219" s="199" t="s">
        <v>75</v>
      </c>
      <c r="H219" s="120" t="s">
        <v>1420</v>
      </c>
      <c r="I219" s="200">
        <v>4</v>
      </c>
      <c r="J219" s="198" t="s">
        <v>1464</v>
      </c>
      <c r="K219" s="122" t="s">
        <v>104</v>
      </c>
      <c r="L219" s="22"/>
      <c r="M219" s="9"/>
      <c r="N219" s="9"/>
      <c r="O219" s="9"/>
      <c r="P219" s="9"/>
      <c r="Q219" s="9"/>
    </row>
    <row r="220" spans="2:17" customFormat="1" hidden="1">
      <c r="B220" s="120" t="s">
        <v>415</v>
      </c>
      <c r="C220" s="122" t="s">
        <v>544</v>
      </c>
      <c r="D220" s="8" t="s">
        <v>545</v>
      </c>
      <c r="E220" s="198" t="s">
        <v>36</v>
      </c>
      <c r="F220" s="199">
        <v>514101</v>
      </c>
      <c r="G220" s="205" t="s">
        <v>77</v>
      </c>
      <c r="H220" s="120" t="s">
        <v>1413</v>
      </c>
      <c r="I220" s="200">
        <v>5</v>
      </c>
      <c r="J220" s="198" t="s">
        <v>1464</v>
      </c>
      <c r="K220" s="122" t="s">
        <v>104</v>
      </c>
      <c r="L220" s="22"/>
      <c r="M220" s="9"/>
      <c r="N220" s="9"/>
      <c r="O220" s="9"/>
      <c r="P220" s="9"/>
      <c r="Q220" s="9"/>
    </row>
    <row r="221" spans="2:17" customFormat="1" hidden="1">
      <c r="B221" s="120" t="s">
        <v>416</v>
      </c>
      <c r="C221" s="122" t="s">
        <v>544</v>
      </c>
      <c r="D221" s="8" t="s">
        <v>545</v>
      </c>
      <c r="E221" s="198" t="s">
        <v>44</v>
      </c>
      <c r="F221" s="199">
        <v>512001</v>
      </c>
      <c r="G221" s="205" t="s">
        <v>81</v>
      </c>
      <c r="H221" s="120" t="s">
        <v>2260</v>
      </c>
      <c r="I221" s="200">
        <v>8</v>
      </c>
      <c r="J221" s="198" t="s">
        <v>1464</v>
      </c>
      <c r="K221" s="122" t="s">
        <v>104</v>
      </c>
      <c r="L221" s="22"/>
      <c r="M221" s="9"/>
      <c r="N221" s="9"/>
      <c r="O221" s="9"/>
      <c r="P221" s="9"/>
      <c r="Q221" s="9"/>
    </row>
    <row r="222" spans="2:17" customFormat="1">
      <c r="B222" s="120" t="s">
        <v>417</v>
      </c>
      <c r="C222" s="122" t="s">
        <v>544</v>
      </c>
      <c r="D222" s="8" t="s">
        <v>545</v>
      </c>
      <c r="E222" s="321" t="s">
        <v>45</v>
      </c>
      <c r="F222" s="199">
        <v>522301</v>
      </c>
      <c r="G222" s="205" t="s">
        <v>43</v>
      </c>
      <c r="H222" s="120" t="s">
        <v>1413</v>
      </c>
      <c r="I222" s="200">
        <v>10</v>
      </c>
      <c r="J222" s="198" t="s">
        <v>1464</v>
      </c>
      <c r="K222" s="122" t="s">
        <v>104</v>
      </c>
      <c r="L222" s="22"/>
      <c r="M222" s="9"/>
      <c r="N222" s="9"/>
      <c r="O222" s="9"/>
      <c r="P222" s="9"/>
      <c r="Q222" s="9"/>
    </row>
    <row r="223" spans="2:17" customFormat="1" hidden="1">
      <c r="B223" s="120" t="s">
        <v>418</v>
      </c>
      <c r="C223" s="122" t="s">
        <v>544</v>
      </c>
      <c r="D223" s="8" t="s">
        <v>545</v>
      </c>
      <c r="E223" s="198" t="s">
        <v>37</v>
      </c>
      <c r="F223" s="199">
        <v>751201</v>
      </c>
      <c r="G223" s="199" t="s">
        <v>183</v>
      </c>
      <c r="H223" s="120" t="s">
        <v>2394</v>
      </c>
      <c r="I223" s="200">
        <v>2</v>
      </c>
      <c r="J223" s="198" t="s">
        <v>1465</v>
      </c>
      <c r="K223" s="122" t="s">
        <v>105</v>
      </c>
      <c r="L223" s="22"/>
      <c r="M223" s="9"/>
      <c r="N223" s="9"/>
      <c r="O223" s="9"/>
      <c r="P223" s="9"/>
      <c r="Q223" s="9"/>
    </row>
    <row r="224" spans="2:17" customFormat="1" hidden="1">
      <c r="B224" s="120" t="s">
        <v>419</v>
      </c>
      <c r="C224" s="122" t="s">
        <v>544</v>
      </c>
      <c r="D224" s="8" t="s">
        <v>545</v>
      </c>
      <c r="E224" s="198" t="s">
        <v>103</v>
      </c>
      <c r="F224" s="199">
        <v>722307</v>
      </c>
      <c r="G224" s="199" t="s">
        <v>83</v>
      </c>
      <c r="H224" s="348" t="s">
        <v>2396</v>
      </c>
      <c r="I224" s="200">
        <v>1</v>
      </c>
      <c r="J224" s="198" t="s">
        <v>1465</v>
      </c>
      <c r="K224" s="122" t="s">
        <v>105</v>
      </c>
      <c r="L224" s="22"/>
      <c r="M224" s="9"/>
      <c r="N224" s="9"/>
      <c r="O224" s="9"/>
      <c r="P224" s="9"/>
      <c r="Q224" s="9"/>
    </row>
    <row r="225" spans="2:17" customFormat="1" hidden="1">
      <c r="B225" s="120" t="s">
        <v>420</v>
      </c>
      <c r="C225" s="130" t="s">
        <v>2352</v>
      </c>
      <c r="D225" s="8" t="s">
        <v>137</v>
      </c>
      <c r="E225" s="136" t="s">
        <v>87</v>
      </c>
      <c r="F225" s="225">
        <v>741103</v>
      </c>
      <c r="G225" s="225" t="s">
        <v>54</v>
      </c>
      <c r="H225" s="120"/>
      <c r="I225" s="222">
        <v>6</v>
      </c>
      <c r="J225" s="141" t="s">
        <v>61</v>
      </c>
      <c r="K225" s="221" t="s">
        <v>851</v>
      </c>
      <c r="L225" s="22"/>
      <c r="M225" s="9"/>
      <c r="N225" s="9"/>
      <c r="O225" s="9"/>
      <c r="P225" s="9"/>
      <c r="Q225" s="9"/>
    </row>
    <row r="226" spans="2:17" customFormat="1" hidden="1">
      <c r="B226" s="120" t="s">
        <v>421</v>
      </c>
      <c r="C226" s="130" t="s">
        <v>2352</v>
      </c>
      <c r="D226" s="219" t="s">
        <v>137</v>
      </c>
      <c r="E226" s="324" t="s">
        <v>1495</v>
      </c>
      <c r="F226" s="199">
        <v>432106</v>
      </c>
      <c r="G226" s="225" t="s">
        <v>281</v>
      </c>
      <c r="H226" s="120" t="s">
        <v>1323</v>
      </c>
      <c r="I226" s="222">
        <v>2</v>
      </c>
      <c r="J226" s="141" t="s">
        <v>547</v>
      </c>
      <c r="K226" s="221" t="s">
        <v>41</v>
      </c>
      <c r="L226" s="22"/>
      <c r="M226" s="9"/>
      <c r="N226" s="9"/>
      <c r="O226" s="9"/>
      <c r="P226" s="9"/>
      <c r="Q226" s="9"/>
    </row>
    <row r="227" spans="2:17" customFormat="1" hidden="1">
      <c r="B227" s="120" t="s">
        <v>422</v>
      </c>
      <c r="C227" s="130" t="s">
        <v>2352</v>
      </c>
      <c r="D227" s="219" t="s">
        <v>137</v>
      </c>
      <c r="E227" s="330" t="s">
        <v>33</v>
      </c>
      <c r="F227" s="225">
        <v>752205</v>
      </c>
      <c r="G227" s="225" t="s">
        <v>69</v>
      </c>
      <c r="H227" s="120"/>
      <c r="I227" s="222">
        <v>1</v>
      </c>
      <c r="J227" s="141" t="s">
        <v>61</v>
      </c>
      <c r="K227" s="221" t="s">
        <v>851</v>
      </c>
      <c r="L227" s="22"/>
      <c r="M227" s="9"/>
      <c r="N227" s="9"/>
      <c r="O227" s="9"/>
      <c r="P227" s="9"/>
      <c r="Q227" s="9"/>
    </row>
    <row r="228" spans="2:17" customFormat="1" hidden="1">
      <c r="B228" s="120" t="s">
        <v>423</v>
      </c>
      <c r="C228" s="130" t="s">
        <v>2352</v>
      </c>
      <c r="D228" s="219" t="s">
        <v>137</v>
      </c>
      <c r="E228" s="330" t="s">
        <v>36</v>
      </c>
      <c r="F228" s="225">
        <v>514101</v>
      </c>
      <c r="G228" s="205" t="s">
        <v>77</v>
      </c>
      <c r="H228" s="120"/>
      <c r="I228" s="222">
        <v>6</v>
      </c>
      <c r="J228" s="141" t="s">
        <v>61</v>
      </c>
      <c r="K228" s="221" t="s">
        <v>851</v>
      </c>
      <c r="L228" s="25"/>
      <c r="M228" s="9"/>
      <c r="N228" s="9"/>
      <c r="O228" s="9"/>
      <c r="P228" s="9"/>
      <c r="Q228" s="9"/>
    </row>
    <row r="229" spans="2:17" customFormat="1" hidden="1">
      <c r="B229" s="120" t="s">
        <v>424</v>
      </c>
      <c r="C229" s="130" t="s">
        <v>2352</v>
      </c>
      <c r="D229" s="219" t="s">
        <v>137</v>
      </c>
      <c r="E229" s="330" t="s">
        <v>44</v>
      </c>
      <c r="F229" s="225">
        <v>512001</v>
      </c>
      <c r="G229" s="205" t="s">
        <v>81</v>
      </c>
      <c r="H229" s="120"/>
      <c r="I229" s="222">
        <v>6</v>
      </c>
      <c r="J229" s="141" t="s">
        <v>61</v>
      </c>
      <c r="K229" s="221" t="s">
        <v>851</v>
      </c>
      <c r="L229" s="25"/>
      <c r="M229" s="9"/>
      <c r="N229" s="9"/>
      <c r="O229" s="9"/>
      <c r="P229" s="9"/>
      <c r="Q229" s="9"/>
    </row>
    <row r="230" spans="2:17" customFormat="1" hidden="1">
      <c r="B230" s="120" t="s">
        <v>425</v>
      </c>
      <c r="C230" s="130" t="s">
        <v>2352</v>
      </c>
      <c r="D230" s="219" t="s">
        <v>137</v>
      </c>
      <c r="E230" s="198" t="s">
        <v>1466</v>
      </c>
      <c r="F230" s="199">
        <v>843103</v>
      </c>
      <c r="G230" s="225" t="s">
        <v>186</v>
      </c>
      <c r="H230" s="120"/>
      <c r="I230" s="222">
        <v>1</v>
      </c>
      <c r="J230" s="141" t="s">
        <v>61</v>
      </c>
      <c r="K230" s="221" t="s">
        <v>851</v>
      </c>
      <c r="L230" s="25"/>
      <c r="M230" s="9"/>
      <c r="N230" s="9"/>
      <c r="O230" s="9"/>
      <c r="P230" s="9"/>
      <c r="Q230" s="9"/>
    </row>
    <row r="231" spans="2:17" customFormat="1" hidden="1">
      <c r="B231" s="120" t="s">
        <v>426</v>
      </c>
      <c r="C231" s="130" t="s">
        <v>2352</v>
      </c>
      <c r="D231" s="219" t="s">
        <v>137</v>
      </c>
      <c r="E231" s="198" t="s">
        <v>39</v>
      </c>
      <c r="F231" s="120">
        <v>711204</v>
      </c>
      <c r="G231" s="225" t="s">
        <v>106</v>
      </c>
      <c r="H231" s="120"/>
      <c r="I231" s="222">
        <v>7</v>
      </c>
      <c r="J231" s="141" t="s">
        <v>61</v>
      </c>
      <c r="K231" s="221" t="s">
        <v>851</v>
      </c>
      <c r="L231" s="25"/>
      <c r="M231" s="9"/>
      <c r="N231" s="9"/>
      <c r="O231" s="9"/>
      <c r="P231" s="9"/>
      <c r="Q231" s="9"/>
    </row>
    <row r="232" spans="2:17" customFormat="1" hidden="1">
      <c r="B232" s="120" t="s">
        <v>427</v>
      </c>
      <c r="C232" s="130" t="s">
        <v>2352</v>
      </c>
      <c r="D232" s="219" t="s">
        <v>137</v>
      </c>
      <c r="E232" s="198" t="s">
        <v>198</v>
      </c>
      <c r="F232" s="199">
        <v>712618</v>
      </c>
      <c r="G232" s="225" t="s">
        <v>86</v>
      </c>
      <c r="H232" s="120"/>
      <c r="I232" s="222">
        <v>2</v>
      </c>
      <c r="J232" s="141" t="s">
        <v>61</v>
      </c>
      <c r="K232" s="221" t="s">
        <v>851</v>
      </c>
      <c r="L232" s="25"/>
      <c r="M232" s="9"/>
      <c r="N232" s="9"/>
      <c r="O232" s="9"/>
      <c r="P232" s="9"/>
      <c r="Q232" s="9"/>
    </row>
    <row r="233" spans="2:17" customFormat="1" hidden="1">
      <c r="B233" s="120" t="s">
        <v>428</v>
      </c>
      <c r="C233" s="130" t="s">
        <v>2352</v>
      </c>
      <c r="D233" s="219" t="s">
        <v>137</v>
      </c>
      <c r="E233" s="303" t="s">
        <v>57</v>
      </c>
      <c r="F233" s="225">
        <v>751204</v>
      </c>
      <c r="G233" s="199" t="s">
        <v>68</v>
      </c>
      <c r="H233" s="120" t="s">
        <v>1344</v>
      </c>
      <c r="I233" s="222">
        <v>1</v>
      </c>
      <c r="J233" s="141" t="s">
        <v>61</v>
      </c>
      <c r="K233" s="221" t="s">
        <v>851</v>
      </c>
      <c r="L233" s="25"/>
      <c r="M233" s="9"/>
      <c r="N233" s="9"/>
      <c r="O233" s="9"/>
      <c r="P233" s="9"/>
      <c r="Q233" s="9"/>
    </row>
    <row r="234" spans="2:17" ht="60">
      <c r="B234" s="120" t="s">
        <v>429</v>
      </c>
      <c r="C234" s="207" t="s">
        <v>1467</v>
      </c>
      <c r="D234" s="120" t="s">
        <v>272</v>
      </c>
      <c r="E234" s="321" t="s">
        <v>45</v>
      </c>
      <c r="F234" s="199">
        <v>522301</v>
      </c>
      <c r="G234" s="205" t="s">
        <v>43</v>
      </c>
      <c r="H234" s="155" t="s">
        <v>1430</v>
      </c>
      <c r="I234" s="200">
        <v>19</v>
      </c>
      <c r="J234" s="280" t="s">
        <v>116</v>
      </c>
      <c r="K234" s="207" t="s">
        <v>942</v>
      </c>
      <c r="L234" s="25"/>
      <c r="M234" s="195"/>
      <c r="N234" s="195"/>
      <c r="O234" s="195"/>
      <c r="P234" s="195"/>
      <c r="Q234" s="195"/>
    </row>
    <row r="235" spans="2:17" ht="45" hidden="1">
      <c r="B235" s="120" t="s">
        <v>430</v>
      </c>
      <c r="C235" s="207" t="s">
        <v>1467</v>
      </c>
      <c r="D235" s="120" t="s">
        <v>272</v>
      </c>
      <c r="E235" s="303" t="s">
        <v>36</v>
      </c>
      <c r="F235" s="199">
        <v>514101</v>
      </c>
      <c r="G235" s="205" t="s">
        <v>77</v>
      </c>
      <c r="H235" s="155" t="s">
        <v>2253</v>
      </c>
      <c r="I235" s="200">
        <v>10</v>
      </c>
      <c r="J235" s="280" t="s">
        <v>116</v>
      </c>
      <c r="K235" s="207" t="s">
        <v>942</v>
      </c>
      <c r="L235" s="20"/>
      <c r="M235" s="195"/>
      <c r="N235" s="195"/>
      <c r="O235" s="195"/>
      <c r="P235" s="195"/>
      <c r="Q235" s="195"/>
    </row>
    <row r="236" spans="2:17" ht="30" hidden="1">
      <c r="B236" s="120" t="s">
        <v>431</v>
      </c>
      <c r="C236" s="207" t="s">
        <v>1467</v>
      </c>
      <c r="D236" s="120" t="s">
        <v>272</v>
      </c>
      <c r="E236" s="303" t="s">
        <v>37</v>
      </c>
      <c r="F236" s="199">
        <v>751201</v>
      </c>
      <c r="G236" s="199" t="s">
        <v>183</v>
      </c>
      <c r="H236" s="316" t="s">
        <v>2289</v>
      </c>
      <c r="I236" s="200">
        <v>7</v>
      </c>
      <c r="J236" s="280" t="s">
        <v>116</v>
      </c>
      <c r="K236" s="207" t="s">
        <v>942</v>
      </c>
      <c r="L236" s="20"/>
      <c r="M236" s="195"/>
      <c r="N236" s="195"/>
      <c r="O236" s="195"/>
      <c r="P236" s="195"/>
      <c r="Q236" s="195"/>
    </row>
    <row r="237" spans="2:17" hidden="1">
      <c r="B237" s="120" t="s">
        <v>432</v>
      </c>
      <c r="C237" s="207" t="s">
        <v>1467</v>
      </c>
      <c r="D237" s="120" t="s">
        <v>272</v>
      </c>
      <c r="E237" s="303" t="s">
        <v>44</v>
      </c>
      <c r="F237" s="199">
        <v>512001</v>
      </c>
      <c r="G237" s="205" t="s">
        <v>81</v>
      </c>
      <c r="H237" s="216" t="s">
        <v>1421</v>
      </c>
      <c r="I237" s="200">
        <v>3</v>
      </c>
      <c r="J237" s="280" t="s">
        <v>116</v>
      </c>
      <c r="K237" s="207" t="s">
        <v>942</v>
      </c>
      <c r="L237" s="22"/>
      <c r="M237" s="195"/>
      <c r="N237" s="195"/>
      <c r="O237" s="195"/>
      <c r="P237" s="195"/>
      <c r="Q237" s="195"/>
    </row>
    <row r="238" spans="2:17" customFormat="1" hidden="1">
      <c r="B238" s="120" t="s">
        <v>433</v>
      </c>
      <c r="C238" s="221" t="s">
        <v>1467</v>
      </c>
      <c r="D238" s="219" t="s">
        <v>272</v>
      </c>
      <c r="E238" s="198" t="s">
        <v>34</v>
      </c>
      <c r="F238" s="199">
        <v>723103</v>
      </c>
      <c r="G238" s="199" t="s">
        <v>75</v>
      </c>
      <c r="H238" s="120" t="s">
        <v>1413</v>
      </c>
      <c r="I238" s="200">
        <v>14</v>
      </c>
      <c r="J238" s="161" t="s">
        <v>566</v>
      </c>
      <c r="K238" s="221" t="s">
        <v>579</v>
      </c>
      <c r="L238" s="22"/>
      <c r="M238" s="9"/>
      <c r="N238" s="9"/>
      <c r="O238" s="9"/>
      <c r="P238" s="9"/>
      <c r="Q238" s="9"/>
    </row>
    <row r="239" spans="2:17" customFormat="1" hidden="1">
      <c r="B239" s="120" t="s">
        <v>434</v>
      </c>
      <c r="C239" s="221" t="s">
        <v>1467</v>
      </c>
      <c r="D239" s="219" t="s">
        <v>272</v>
      </c>
      <c r="E239" s="198" t="s">
        <v>33</v>
      </c>
      <c r="F239" s="199">
        <v>752205</v>
      </c>
      <c r="G239" s="199" t="s">
        <v>69</v>
      </c>
      <c r="H239" s="342"/>
      <c r="I239" s="200">
        <v>1</v>
      </c>
      <c r="J239" s="141" t="s">
        <v>61</v>
      </c>
      <c r="K239" s="121" t="s">
        <v>851</v>
      </c>
      <c r="L239" s="22"/>
      <c r="M239" s="9"/>
      <c r="N239" s="9"/>
      <c r="O239" s="9"/>
      <c r="P239" s="9"/>
      <c r="Q239" s="9"/>
    </row>
    <row r="240" spans="2:17" hidden="1">
      <c r="B240" s="120" t="s">
        <v>435</v>
      </c>
      <c r="C240" s="207" t="s">
        <v>1467</v>
      </c>
      <c r="D240" s="120" t="s">
        <v>272</v>
      </c>
      <c r="E240" s="198" t="s">
        <v>78</v>
      </c>
      <c r="F240" s="199">
        <v>741203</v>
      </c>
      <c r="G240" s="199" t="s">
        <v>64</v>
      </c>
      <c r="H240" s="349" t="s">
        <v>2396</v>
      </c>
      <c r="I240" s="342">
        <v>1</v>
      </c>
      <c r="J240" s="198" t="s">
        <v>1465</v>
      </c>
      <c r="K240" s="221" t="s">
        <v>105</v>
      </c>
      <c r="L240" s="22"/>
      <c r="M240" s="195"/>
      <c r="N240" s="195"/>
      <c r="O240" s="195"/>
      <c r="P240" s="195"/>
      <c r="Q240" s="195"/>
    </row>
    <row r="241" spans="2:17" customFormat="1" hidden="1">
      <c r="B241" s="120" t="s">
        <v>436</v>
      </c>
      <c r="C241" s="122" t="s">
        <v>1468</v>
      </c>
      <c r="D241" s="8" t="s">
        <v>1256</v>
      </c>
      <c r="E241" s="136" t="s">
        <v>87</v>
      </c>
      <c r="F241" s="199">
        <v>741103</v>
      </c>
      <c r="G241" s="199" t="s">
        <v>54</v>
      </c>
      <c r="H241" s="120" t="s">
        <v>1345</v>
      </c>
      <c r="I241" s="137">
        <v>1</v>
      </c>
      <c r="J241" s="198" t="s">
        <v>1465</v>
      </c>
      <c r="K241" s="221" t="s">
        <v>105</v>
      </c>
      <c r="L241" s="22"/>
      <c r="M241" s="9"/>
      <c r="N241" s="9"/>
      <c r="O241" s="9"/>
      <c r="P241" s="9"/>
      <c r="Q241" s="9"/>
    </row>
    <row r="242" spans="2:17" customFormat="1" hidden="1">
      <c r="B242" s="120" t="s">
        <v>437</v>
      </c>
      <c r="C242" s="221" t="s">
        <v>1468</v>
      </c>
      <c r="D242" s="219" t="s">
        <v>1256</v>
      </c>
      <c r="E242" s="198" t="s">
        <v>36</v>
      </c>
      <c r="F242" s="199">
        <v>514101</v>
      </c>
      <c r="G242" s="205" t="s">
        <v>77</v>
      </c>
      <c r="H242" s="120" t="s">
        <v>1350</v>
      </c>
      <c r="I242" s="137">
        <v>4</v>
      </c>
      <c r="J242" s="198" t="s">
        <v>1465</v>
      </c>
      <c r="K242" s="221" t="s">
        <v>105</v>
      </c>
      <c r="L242" s="22"/>
      <c r="M242" s="9"/>
      <c r="N242" s="9"/>
      <c r="O242" s="9"/>
      <c r="P242" s="9"/>
      <c r="Q242" s="9"/>
    </row>
    <row r="243" spans="2:17" customFormat="1" hidden="1">
      <c r="B243" s="120" t="s">
        <v>438</v>
      </c>
      <c r="C243" s="221" t="s">
        <v>1468</v>
      </c>
      <c r="D243" s="219" t="s">
        <v>1256</v>
      </c>
      <c r="E243" s="198" t="s">
        <v>44</v>
      </c>
      <c r="F243" s="199">
        <v>512001</v>
      </c>
      <c r="G243" s="205" t="s">
        <v>81</v>
      </c>
      <c r="H243" s="120" t="s">
        <v>1350</v>
      </c>
      <c r="I243" s="137">
        <v>4</v>
      </c>
      <c r="J243" s="198" t="s">
        <v>1465</v>
      </c>
      <c r="K243" s="221" t="s">
        <v>105</v>
      </c>
      <c r="L243" s="22"/>
      <c r="M243" s="9"/>
      <c r="N243" s="9"/>
      <c r="O243" s="9"/>
      <c r="P243" s="9"/>
      <c r="Q243" s="9"/>
    </row>
    <row r="244" spans="2:17" customFormat="1" hidden="1">
      <c r="B244" s="120" t="s">
        <v>439</v>
      </c>
      <c r="C244" s="221" t="s">
        <v>1468</v>
      </c>
      <c r="D244" s="219" t="s">
        <v>1256</v>
      </c>
      <c r="E244" s="198" t="s">
        <v>34</v>
      </c>
      <c r="F244" s="199">
        <v>723103</v>
      </c>
      <c r="G244" s="199" t="s">
        <v>75</v>
      </c>
      <c r="H244" s="158" t="s">
        <v>1350</v>
      </c>
      <c r="I244" s="137">
        <v>7</v>
      </c>
      <c r="J244" s="198" t="s">
        <v>1465</v>
      </c>
      <c r="K244" s="221" t="s">
        <v>105</v>
      </c>
      <c r="L244" s="22"/>
      <c r="M244" s="9"/>
      <c r="N244" s="9"/>
      <c r="O244" s="9"/>
      <c r="P244" s="9"/>
      <c r="Q244" s="9"/>
    </row>
    <row r="245" spans="2:17" customFormat="1" hidden="1">
      <c r="B245" s="120" t="s">
        <v>440</v>
      </c>
      <c r="C245" s="221" t="s">
        <v>1468</v>
      </c>
      <c r="D245" s="219" t="s">
        <v>1256</v>
      </c>
      <c r="E245" s="198" t="s">
        <v>103</v>
      </c>
      <c r="F245" s="199">
        <v>722307</v>
      </c>
      <c r="G245" s="199" t="s">
        <v>83</v>
      </c>
      <c r="H245" s="348" t="s">
        <v>2396</v>
      </c>
      <c r="I245" s="137">
        <v>17</v>
      </c>
      <c r="J245" s="198" t="s">
        <v>1465</v>
      </c>
      <c r="K245" s="221" t="s">
        <v>105</v>
      </c>
      <c r="L245" s="25"/>
      <c r="M245" s="9"/>
      <c r="N245" s="9"/>
      <c r="O245" s="9"/>
      <c r="P245" s="9"/>
      <c r="Q245" s="9"/>
    </row>
    <row r="246" spans="2:17" customFormat="1">
      <c r="B246" s="120" t="s">
        <v>441</v>
      </c>
      <c r="C246" s="221" t="s">
        <v>1468</v>
      </c>
      <c r="D246" s="219" t="s">
        <v>1256</v>
      </c>
      <c r="E246" s="321" t="s">
        <v>45</v>
      </c>
      <c r="F246" s="199">
        <v>522301</v>
      </c>
      <c r="G246" s="205" t="s">
        <v>43</v>
      </c>
      <c r="H246" s="120" t="s">
        <v>1344</v>
      </c>
      <c r="I246" s="137">
        <v>9</v>
      </c>
      <c r="J246" s="198" t="s">
        <v>1465</v>
      </c>
      <c r="K246" s="221" t="s">
        <v>105</v>
      </c>
      <c r="L246" s="25"/>
      <c r="M246" s="9"/>
      <c r="N246" s="9"/>
      <c r="O246" s="9"/>
      <c r="P246" s="9"/>
      <c r="Q246" s="9"/>
    </row>
    <row r="247" spans="2:17" customFormat="1" hidden="1">
      <c r="B247" s="120" t="s">
        <v>442</v>
      </c>
      <c r="C247" s="221" t="s">
        <v>1468</v>
      </c>
      <c r="D247" s="219" t="s">
        <v>1256</v>
      </c>
      <c r="E247" s="198" t="s">
        <v>217</v>
      </c>
      <c r="F247" s="120">
        <v>722204</v>
      </c>
      <c r="G247" s="199" t="s">
        <v>185</v>
      </c>
      <c r="H247" s="348" t="s">
        <v>1350</v>
      </c>
      <c r="I247" s="137">
        <v>1</v>
      </c>
      <c r="J247" s="198" t="s">
        <v>1465</v>
      </c>
      <c r="K247" s="221" t="s">
        <v>105</v>
      </c>
      <c r="L247" s="25"/>
      <c r="M247" s="9"/>
      <c r="N247" s="9"/>
      <c r="O247" s="9"/>
      <c r="P247" s="9"/>
      <c r="Q247" s="9"/>
    </row>
    <row r="248" spans="2:17" customFormat="1" hidden="1">
      <c r="B248" s="120" t="s">
        <v>443</v>
      </c>
      <c r="C248" s="221" t="s">
        <v>1468</v>
      </c>
      <c r="D248" s="219" t="s">
        <v>1256</v>
      </c>
      <c r="E248" s="221" t="s">
        <v>226</v>
      </c>
      <c r="F248" s="120">
        <v>513101</v>
      </c>
      <c r="G248" s="120" t="s">
        <v>227</v>
      </c>
      <c r="H248" s="158" t="s">
        <v>2346</v>
      </c>
      <c r="I248" s="137">
        <v>1</v>
      </c>
      <c r="J248" s="141" t="s">
        <v>547</v>
      </c>
      <c r="K248" s="221" t="s">
        <v>41</v>
      </c>
      <c r="L248" s="25"/>
      <c r="M248" s="9"/>
      <c r="N248" s="9"/>
      <c r="O248" s="9"/>
      <c r="P248" s="9"/>
      <c r="Q248" s="9"/>
    </row>
    <row r="249" spans="2:17" customFormat="1" hidden="1">
      <c r="B249" s="120" t="s">
        <v>444</v>
      </c>
      <c r="C249" s="221" t="s">
        <v>1468</v>
      </c>
      <c r="D249" s="219" t="s">
        <v>1256</v>
      </c>
      <c r="E249" s="130" t="s">
        <v>193</v>
      </c>
      <c r="F249" s="119">
        <v>962907</v>
      </c>
      <c r="G249" s="119" t="s">
        <v>194</v>
      </c>
      <c r="H249" s="119" t="s">
        <v>2252</v>
      </c>
      <c r="I249" s="131">
        <v>1</v>
      </c>
      <c r="J249" s="172" t="s">
        <v>1174</v>
      </c>
      <c r="K249" s="221" t="s">
        <v>849</v>
      </c>
      <c r="L249" s="25"/>
      <c r="M249" s="9"/>
      <c r="N249" s="9"/>
      <c r="O249" s="9"/>
      <c r="P249" s="9"/>
      <c r="Q249" s="9"/>
    </row>
    <row r="250" spans="2:17" customFormat="1" hidden="1">
      <c r="B250" s="120" t="s">
        <v>445</v>
      </c>
      <c r="C250" s="122" t="s">
        <v>1475</v>
      </c>
      <c r="D250" s="8" t="s">
        <v>285</v>
      </c>
      <c r="E250" s="198" t="s">
        <v>34</v>
      </c>
      <c r="F250" s="199">
        <v>723103</v>
      </c>
      <c r="G250" s="199" t="s">
        <v>75</v>
      </c>
      <c r="H250" s="158" t="s">
        <v>1350</v>
      </c>
      <c r="I250" s="137">
        <v>1</v>
      </c>
      <c r="J250" s="198" t="s">
        <v>1465</v>
      </c>
      <c r="K250" s="221" t="s">
        <v>105</v>
      </c>
      <c r="L250" s="25"/>
      <c r="M250" s="9"/>
      <c r="N250" s="9"/>
      <c r="O250" s="9"/>
      <c r="P250" s="9"/>
      <c r="Q250" s="9"/>
    </row>
    <row r="251" spans="2:17" customFormat="1" hidden="1">
      <c r="B251" s="120" t="s">
        <v>446</v>
      </c>
      <c r="C251" s="221" t="s">
        <v>1475</v>
      </c>
      <c r="D251" s="219" t="s">
        <v>285</v>
      </c>
      <c r="E251" s="198" t="s">
        <v>78</v>
      </c>
      <c r="F251" s="3">
        <v>741203</v>
      </c>
      <c r="G251" s="199" t="s">
        <v>64</v>
      </c>
      <c r="H251" s="349" t="s">
        <v>2396</v>
      </c>
      <c r="I251" s="137">
        <v>1</v>
      </c>
      <c r="J251" s="198" t="s">
        <v>1465</v>
      </c>
      <c r="K251" s="221" t="s">
        <v>105</v>
      </c>
      <c r="L251" s="25"/>
      <c r="M251" s="9"/>
      <c r="N251" s="9"/>
      <c r="O251" s="9"/>
      <c r="P251" s="9"/>
      <c r="Q251" s="9"/>
    </row>
    <row r="252" spans="2:17" customFormat="1">
      <c r="B252" s="120" t="s">
        <v>447</v>
      </c>
      <c r="C252" s="221" t="s">
        <v>1475</v>
      </c>
      <c r="D252" s="219" t="s">
        <v>285</v>
      </c>
      <c r="E252" s="321" t="s">
        <v>45</v>
      </c>
      <c r="F252" s="199">
        <v>522301</v>
      </c>
      <c r="G252" s="205" t="s">
        <v>43</v>
      </c>
      <c r="H252" s="120" t="s">
        <v>1349</v>
      </c>
      <c r="I252" s="137">
        <v>5</v>
      </c>
      <c r="J252" s="198" t="s">
        <v>1465</v>
      </c>
      <c r="K252" s="221" t="s">
        <v>105</v>
      </c>
      <c r="L252" s="25"/>
      <c r="M252" s="9"/>
      <c r="N252" s="9"/>
      <c r="O252" s="9"/>
      <c r="P252" s="9"/>
      <c r="Q252" s="9"/>
    </row>
    <row r="253" spans="2:17" customFormat="1" hidden="1">
      <c r="B253" s="120" t="s">
        <v>448</v>
      </c>
      <c r="C253" s="221" t="s">
        <v>1475</v>
      </c>
      <c r="D253" s="219" t="s">
        <v>285</v>
      </c>
      <c r="E253" s="198" t="s">
        <v>44</v>
      </c>
      <c r="F253" s="199">
        <v>512001</v>
      </c>
      <c r="G253" s="205" t="s">
        <v>81</v>
      </c>
      <c r="H253" s="120" t="s">
        <v>1350</v>
      </c>
      <c r="I253" s="137">
        <v>1</v>
      </c>
      <c r="J253" s="198" t="s">
        <v>1465</v>
      </c>
      <c r="K253" s="221" t="s">
        <v>105</v>
      </c>
      <c r="L253" s="25"/>
      <c r="M253" s="9"/>
      <c r="N253" s="9"/>
      <c r="O253" s="9"/>
      <c r="P253" s="9"/>
      <c r="Q253" s="9"/>
    </row>
    <row r="254" spans="2:17" customFormat="1" hidden="1">
      <c r="B254" s="120" t="s">
        <v>449</v>
      </c>
      <c r="C254" s="221" t="s">
        <v>1475</v>
      </c>
      <c r="D254" s="219" t="s">
        <v>285</v>
      </c>
      <c r="E254" s="198" t="s">
        <v>37</v>
      </c>
      <c r="F254" s="199">
        <v>751201</v>
      </c>
      <c r="G254" s="199" t="s">
        <v>183</v>
      </c>
      <c r="H254" s="120" t="s">
        <v>2394</v>
      </c>
      <c r="I254" s="137">
        <v>1</v>
      </c>
      <c r="J254" s="198" t="s">
        <v>1465</v>
      </c>
      <c r="K254" s="221" t="s">
        <v>105</v>
      </c>
      <c r="L254" s="25"/>
      <c r="M254" s="9"/>
      <c r="N254" s="9"/>
      <c r="O254" s="9"/>
      <c r="P254" s="9"/>
      <c r="Q254" s="9"/>
    </row>
    <row r="255" spans="2:17" customFormat="1" hidden="1">
      <c r="B255" s="120" t="s">
        <v>450</v>
      </c>
      <c r="C255" s="221" t="s">
        <v>1475</v>
      </c>
      <c r="D255" s="219" t="s">
        <v>285</v>
      </c>
      <c r="E255" s="198" t="s">
        <v>36</v>
      </c>
      <c r="F255" s="199">
        <v>514101</v>
      </c>
      <c r="G255" s="205" t="s">
        <v>77</v>
      </c>
      <c r="H255" s="120" t="s">
        <v>1350</v>
      </c>
      <c r="I255" s="137">
        <v>5</v>
      </c>
      <c r="J255" s="198" t="s">
        <v>1465</v>
      </c>
      <c r="K255" s="221" t="s">
        <v>105</v>
      </c>
      <c r="L255" s="25"/>
      <c r="M255" s="9"/>
      <c r="N255" s="9"/>
      <c r="O255" s="9"/>
      <c r="P255" s="9"/>
      <c r="Q255" s="9"/>
    </row>
    <row r="256" spans="2:17" customFormat="1" hidden="1">
      <c r="B256" s="120" t="s">
        <v>451</v>
      </c>
      <c r="C256" s="221" t="s">
        <v>1475</v>
      </c>
      <c r="D256" s="219" t="s">
        <v>285</v>
      </c>
      <c r="E256" s="198" t="s">
        <v>217</v>
      </c>
      <c r="F256" s="120">
        <v>722204</v>
      </c>
      <c r="G256" s="199" t="s">
        <v>185</v>
      </c>
      <c r="H256" s="348" t="s">
        <v>1350</v>
      </c>
      <c r="I256" s="137">
        <v>3</v>
      </c>
      <c r="J256" s="198" t="s">
        <v>1465</v>
      </c>
      <c r="K256" s="221" t="s">
        <v>105</v>
      </c>
      <c r="L256" s="25"/>
      <c r="M256" s="9"/>
      <c r="N256" s="9"/>
      <c r="O256" s="9"/>
      <c r="P256" s="9"/>
      <c r="Q256" s="9"/>
    </row>
    <row r="257" spans="2:17" customFormat="1" hidden="1">
      <c r="B257" s="120" t="s">
        <v>452</v>
      </c>
      <c r="C257" s="221" t="s">
        <v>567</v>
      </c>
      <c r="D257" s="120" t="s">
        <v>568</v>
      </c>
      <c r="E257" s="198" t="s">
        <v>37</v>
      </c>
      <c r="F257" s="199">
        <v>751201</v>
      </c>
      <c r="G257" s="199" t="s">
        <v>183</v>
      </c>
      <c r="H257" s="348" t="s">
        <v>2248</v>
      </c>
      <c r="I257" s="200">
        <v>1</v>
      </c>
      <c r="J257" s="7" t="s">
        <v>141</v>
      </c>
      <c r="K257" s="122" t="s">
        <v>943</v>
      </c>
      <c r="L257" s="25"/>
      <c r="M257" s="9"/>
      <c r="N257" s="9"/>
      <c r="O257" s="9"/>
      <c r="P257" s="9"/>
      <c r="Q257" s="9"/>
    </row>
    <row r="258" spans="2:17" customFormat="1" hidden="1">
      <c r="B258" s="120" t="s">
        <v>453</v>
      </c>
      <c r="C258" s="221" t="s">
        <v>567</v>
      </c>
      <c r="D258" s="120" t="s">
        <v>568</v>
      </c>
      <c r="E258" s="136" t="s">
        <v>87</v>
      </c>
      <c r="F258" s="199">
        <v>741103</v>
      </c>
      <c r="G258" s="199" t="s">
        <v>54</v>
      </c>
      <c r="H258" s="348" t="s">
        <v>2338</v>
      </c>
      <c r="I258" s="200">
        <v>5</v>
      </c>
      <c r="J258" s="7" t="s">
        <v>141</v>
      </c>
      <c r="K258" s="122" t="s">
        <v>943</v>
      </c>
      <c r="L258" s="25"/>
      <c r="M258" s="9"/>
      <c r="N258" s="9"/>
      <c r="O258" s="9"/>
      <c r="P258" s="9"/>
      <c r="Q258" s="9"/>
    </row>
    <row r="259" spans="2:17" customFormat="1" hidden="1">
      <c r="B259" s="120" t="s">
        <v>454</v>
      </c>
      <c r="C259" s="221" t="s">
        <v>567</v>
      </c>
      <c r="D259" s="120" t="s">
        <v>568</v>
      </c>
      <c r="E259" s="198" t="s">
        <v>577</v>
      </c>
      <c r="F259" s="199">
        <v>514101</v>
      </c>
      <c r="G259" s="199" t="s">
        <v>77</v>
      </c>
      <c r="H259" s="120" t="s">
        <v>2357</v>
      </c>
      <c r="I259" s="200">
        <v>1</v>
      </c>
      <c r="J259" s="7" t="s">
        <v>141</v>
      </c>
      <c r="K259" s="221" t="s">
        <v>943</v>
      </c>
      <c r="L259" s="25"/>
      <c r="M259" s="9"/>
      <c r="N259" s="9"/>
      <c r="O259" s="9"/>
      <c r="P259" s="9"/>
      <c r="Q259" s="9"/>
    </row>
    <row r="260" spans="2:17" customFormat="1">
      <c r="B260" s="120" t="s">
        <v>455</v>
      </c>
      <c r="C260" s="221" t="s">
        <v>567</v>
      </c>
      <c r="D260" s="120" t="s">
        <v>568</v>
      </c>
      <c r="E260" s="321" t="s">
        <v>45</v>
      </c>
      <c r="F260" s="199">
        <v>522301</v>
      </c>
      <c r="G260" s="70" t="s">
        <v>43</v>
      </c>
      <c r="H260" s="348" t="s">
        <v>2357</v>
      </c>
      <c r="I260" s="200">
        <v>4</v>
      </c>
      <c r="J260" s="7" t="s">
        <v>141</v>
      </c>
      <c r="K260" s="221" t="s">
        <v>943</v>
      </c>
      <c r="L260" s="25"/>
      <c r="M260" s="9"/>
      <c r="N260" s="9"/>
      <c r="O260" s="9"/>
      <c r="P260" s="9"/>
      <c r="Q260" s="9"/>
    </row>
    <row r="261" spans="2:17" customFormat="1" hidden="1">
      <c r="B261" s="120" t="s">
        <v>456</v>
      </c>
      <c r="C261" s="221" t="s">
        <v>567</v>
      </c>
      <c r="D261" s="120" t="s">
        <v>568</v>
      </c>
      <c r="E261" s="198" t="s">
        <v>33</v>
      </c>
      <c r="F261" s="199">
        <v>752205</v>
      </c>
      <c r="G261" s="199" t="s">
        <v>69</v>
      </c>
      <c r="H261" s="120" t="s">
        <v>2357</v>
      </c>
      <c r="I261" s="200">
        <v>1</v>
      </c>
      <c r="J261" s="7" t="s">
        <v>141</v>
      </c>
      <c r="K261" s="221" t="s">
        <v>943</v>
      </c>
      <c r="L261" s="25"/>
      <c r="M261" s="9"/>
      <c r="N261" s="9"/>
      <c r="O261" s="9"/>
      <c r="P261" s="9"/>
      <c r="Q261" s="9"/>
    </row>
    <row r="262" spans="2:17" customFormat="1" hidden="1">
      <c r="B262" s="120" t="s">
        <v>457</v>
      </c>
      <c r="C262" s="221" t="s">
        <v>567</v>
      </c>
      <c r="D262" s="120" t="s">
        <v>568</v>
      </c>
      <c r="E262" s="198" t="s">
        <v>198</v>
      </c>
      <c r="F262" s="199">
        <v>712618</v>
      </c>
      <c r="G262" s="199" t="s">
        <v>86</v>
      </c>
      <c r="H262" s="120" t="s">
        <v>2413</v>
      </c>
      <c r="I262" s="200">
        <v>4</v>
      </c>
      <c r="J262" s="7" t="s">
        <v>141</v>
      </c>
      <c r="K262" s="221" t="s">
        <v>943</v>
      </c>
      <c r="L262" s="25"/>
      <c r="M262" s="9"/>
      <c r="N262" s="9"/>
      <c r="O262" s="9"/>
      <c r="P262" s="9"/>
      <c r="Q262" s="9"/>
    </row>
    <row r="263" spans="2:17" customFormat="1" hidden="1">
      <c r="B263" s="120" t="s">
        <v>458</v>
      </c>
      <c r="C263" s="221" t="s">
        <v>567</v>
      </c>
      <c r="D263" s="120" t="s">
        <v>568</v>
      </c>
      <c r="E263" s="198" t="s">
        <v>58</v>
      </c>
      <c r="F263" s="199">
        <v>753402</v>
      </c>
      <c r="G263" s="199" t="s">
        <v>70</v>
      </c>
      <c r="H263" s="120" t="s">
        <v>2357</v>
      </c>
      <c r="I263" s="200">
        <v>8</v>
      </c>
      <c r="J263" s="7" t="s">
        <v>141</v>
      </c>
      <c r="K263" s="221" t="s">
        <v>943</v>
      </c>
      <c r="L263" s="25"/>
      <c r="M263" s="9"/>
      <c r="N263" s="9"/>
      <c r="O263" s="9"/>
      <c r="P263" s="9"/>
      <c r="Q263" s="9"/>
    </row>
    <row r="264" spans="2:17" customFormat="1" hidden="1">
      <c r="B264" s="120" t="s">
        <v>459</v>
      </c>
      <c r="C264" s="229" t="s">
        <v>1476</v>
      </c>
      <c r="D264" s="8" t="s">
        <v>50</v>
      </c>
      <c r="E264" s="221"/>
      <c r="F264" s="120"/>
      <c r="G264" s="201"/>
      <c r="H264" s="120"/>
      <c r="I264" s="317">
        <v>0</v>
      </c>
      <c r="J264" s="161"/>
      <c r="K264" s="122"/>
      <c r="L264" s="25"/>
      <c r="M264" s="9"/>
      <c r="N264" s="9"/>
      <c r="O264" s="9"/>
      <c r="P264" s="9"/>
      <c r="Q264" s="9"/>
    </row>
    <row r="265" spans="2:17" customFormat="1" hidden="1">
      <c r="B265" s="120" t="s">
        <v>460</v>
      </c>
      <c r="C265" s="122" t="s">
        <v>1477</v>
      </c>
      <c r="D265" s="8" t="s">
        <v>49</v>
      </c>
      <c r="E265" s="198" t="s">
        <v>34</v>
      </c>
      <c r="F265" s="199">
        <v>723103</v>
      </c>
      <c r="G265" s="199" t="s">
        <v>75</v>
      </c>
      <c r="H265" s="295" t="s">
        <v>2281</v>
      </c>
      <c r="I265" s="230">
        <v>3</v>
      </c>
      <c r="J265" s="7" t="s">
        <v>1485</v>
      </c>
      <c r="K265" s="221" t="s">
        <v>35</v>
      </c>
      <c r="L265" s="25"/>
      <c r="M265" s="9"/>
      <c r="N265" s="9"/>
      <c r="O265" s="9"/>
      <c r="P265" s="9"/>
      <c r="Q265" s="9"/>
    </row>
    <row r="266" spans="2:17" customFormat="1" hidden="1">
      <c r="B266" s="120" t="s">
        <v>461</v>
      </c>
      <c r="C266" s="221" t="s">
        <v>1477</v>
      </c>
      <c r="D266" s="219" t="s">
        <v>49</v>
      </c>
      <c r="E266" s="198" t="s">
        <v>37</v>
      </c>
      <c r="F266" s="199">
        <v>751201</v>
      </c>
      <c r="G266" s="199" t="s">
        <v>183</v>
      </c>
      <c r="H266" s="120" t="s">
        <v>2394</v>
      </c>
      <c r="I266" s="41">
        <v>1</v>
      </c>
      <c r="J266" s="198" t="s">
        <v>1465</v>
      </c>
      <c r="K266" s="221" t="s">
        <v>105</v>
      </c>
      <c r="L266" s="25"/>
      <c r="M266" s="9"/>
      <c r="N266" s="9"/>
      <c r="O266" s="9"/>
      <c r="P266" s="9"/>
      <c r="Q266" s="9"/>
    </row>
    <row r="267" spans="2:17" customFormat="1" hidden="1">
      <c r="B267" s="120" t="s">
        <v>462</v>
      </c>
      <c r="C267" s="221" t="s">
        <v>1477</v>
      </c>
      <c r="D267" s="219" t="s">
        <v>49</v>
      </c>
      <c r="E267" s="136" t="s">
        <v>87</v>
      </c>
      <c r="F267" s="199">
        <v>741103</v>
      </c>
      <c r="G267" s="199" t="s">
        <v>54</v>
      </c>
      <c r="H267" s="120" t="s">
        <v>1345</v>
      </c>
      <c r="I267" s="57">
        <v>1</v>
      </c>
      <c r="J267" s="198" t="s">
        <v>1465</v>
      </c>
      <c r="K267" s="221" t="s">
        <v>105</v>
      </c>
      <c r="L267" s="25"/>
      <c r="M267" s="9"/>
      <c r="N267" s="9"/>
      <c r="O267" s="9"/>
      <c r="P267" s="9"/>
      <c r="Q267" s="9"/>
    </row>
    <row r="268" spans="2:17" ht="60">
      <c r="B268" s="120" t="s">
        <v>463</v>
      </c>
      <c r="C268" s="207" t="s">
        <v>1478</v>
      </c>
      <c r="D268" s="120" t="s">
        <v>1165</v>
      </c>
      <c r="E268" s="321" t="s">
        <v>45</v>
      </c>
      <c r="F268" s="199">
        <v>522301</v>
      </c>
      <c r="G268" s="199" t="s">
        <v>43</v>
      </c>
      <c r="H268" s="155" t="s">
        <v>1430</v>
      </c>
      <c r="I268" s="200">
        <v>11</v>
      </c>
      <c r="J268" s="280" t="s">
        <v>116</v>
      </c>
      <c r="K268" s="207" t="s">
        <v>942</v>
      </c>
      <c r="L268" s="20"/>
      <c r="M268" s="195"/>
      <c r="N268" s="195"/>
      <c r="O268" s="195"/>
      <c r="P268" s="195"/>
      <c r="Q268" s="195"/>
    </row>
    <row r="269" spans="2:17" ht="45" hidden="1">
      <c r="B269" s="120" t="s">
        <v>464</v>
      </c>
      <c r="C269" s="207" t="s">
        <v>1478</v>
      </c>
      <c r="D269" s="120" t="s">
        <v>1165</v>
      </c>
      <c r="E269" s="303" t="s">
        <v>36</v>
      </c>
      <c r="F269" s="199">
        <v>514101</v>
      </c>
      <c r="G269" s="199" t="s">
        <v>77</v>
      </c>
      <c r="H269" s="155" t="s">
        <v>2253</v>
      </c>
      <c r="I269" s="200">
        <v>10</v>
      </c>
      <c r="J269" s="280" t="s">
        <v>116</v>
      </c>
      <c r="K269" s="207" t="s">
        <v>942</v>
      </c>
      <c r="L269" s="20"/>
      <c r="M269" s="195"/>
      <c r="N269" s="195"/>
      <c r="O269" s="195"/>
      <c r="P269" s="195"/>
      <c r="Q269" s="195"/>
    </row>
    <row r="270" spans="2:17" hidden="1">
      <c r="B270" s="120" t="s">
        <v>465</v>
      </c>
      <c r="C270" s="207" t="s">
        <v>1478</v>
      </c>
      <c r="D270" s="120" t="s">
        <v>1165</v>
      </c>
      <c r="E270" s="303" t="s">
        <v>37</v>
      </c>
      <c r="F270" s="199">
        <v>751201</v>
      </c>
      <c r="G270" s="199" t="s">
        <v>183</v>
      </c>
      <c r="H270" s="158" t="s">
        <v>1413</v>
      </c>
      <c r="I270" s="200">
        <v>2</v>
      </c>
      <c r="J270" s="280" t="s">
        <v>116</v>
      </c>
      <c r="K270" s="207" t="s">
        <v>942</v>
      </c>
      <c r="L270" s="22"/>
      <c r="M270" s="195"/>
      <c r="N270" s="195"/>
      <c r="O270" s="195"/>
      <c r="P270" s="195"/>
      <c r="Q270" s="195"/>
    </row>
    <row r="271" spans="2:17" hidden="1">
      <c r="B271" s="120" t="s">
        <v>466</v>
      </c>
      <c r="C271" s="207" t="s">
        <v>1478</v>
      </c>
      <c r="D271" s="120" t="s">
        <v>1165</v>
      </c>
      <c r="E271" s="303" t="s">
        <v>44</v>
      </c>
      <c r="F271" s="199">
        <v>512001</v>
      </c>
      <c r="G271" s="199" t="s">
        <v>81</v>
      </c>
      <c r="H271" s="158" t="s">
        <v>1421</v>
      </c>
      <c r="I271" s="200">
        <v>3</v>
      </c>
      <c r="J271" s="280" t="s">
        <v>116</v>
      </c>
      <c r="K271" s="207" t="s">
        <v>942</v>
      </c>
      <c r="L271" s="22"/>
      <c r="M271" s="195"/>
      <c r="N271" s="195"/>
      <c r="O271" s="195"/>
      <c r="P271" s="195"/>
      <c r="Q271" s="195"/>
    </row>
    <row r="272" spans="2:17" hidden="1">
      <c r="B272" s="120" t="s">
        <v>467</v>
      </c>
      <c r="C272" s="207" t="s">
        <v>1478</v>
      </c>
      <c r="D272" s="120" t="s">
        <v>1165</v>
      </c>
      <c r="E272" s="303" t="s">
        <v>57</v>
      </c>
      <c r="F272" s="199">
        <v>751204</v>
      </c>
      <c r="G272" s="199" t="s">
        <v>68</v>
      </c>
      <c r="H272" s="158" t="s">
        <v>1421</v>
      </c>
      <c r="I272" s="200">
        <v>4</v>
      </c>
      <c r="J272" s="280" t="s">
        <v>116</v>
      </c>
      <c r="K272" s="207" t="s">
        <v>942</v>
      </c>
      <c r="L272" s="22"/>
      <c r="M272" s="195"/>
      <c r="N272" s="195"/>
      <c r="O272" s="195"/>
      <c r="P272" s="195"/>
      <c r="Q272" s="195"/>
    </row>
    <row r="273" spans="2:17" customFormat="1" hidden="1">
      <c r="B273" s="120" t="s">
        <v>468</v>
      </c>
      <c r="C273" s="221" t="s">
        <v>1478</v>
      </c>
      <c r="D273" s="219" t="s">
        <v>1165</v>
      </c>
      <c r="E273" s="324" t="s">
        <v>1495</v>
      </c>
      <c r="F273" s="199">
        <v>432106</v>
      </c>
      <c r="G273" s="199" t="s">
        <v>281</v>
      </c>
      <c r="H273" s="120" t="s">
        <v>1323</v>
      </c>
      <c r="I273" s="200">
        <v>2</v>
      </c>
      <c r="J273" s="141" t="s">
        <v>547</v>
      </c>
      <c r="K273" s="221" t="s">
        <v>41</v>
      </c>
      <c r="L273" s="22"/>
      <c r="M273" s="9"/>
      <c r="N273" s="9"/>
      <c r="O273" s="9"/>
      <c r="P273" s="9"/>
      <c r="Q273" s="9"/>
    </row>
    <row r="274" spans="2:17" customFormat="1" hidden="1">
      <c r="B274" s="120" t="s">
        <v>469</v>
      </c>
      <c r="C274" s="221" t="s">
        <v>1478</v>
      </c>
      <c r="D274" s="219" t="s">
        <v>1165</v>
      </c>
      <c r="E274" s="198" t="s">
        <v>1479</v>
      </c>
      <c r="F274" s="199">
        <v>721306</v>
      </c>
      <c r="G274" s="199" t="s">
        <v>63</v>
      </c>
      <c r="H274" s="349" t="s">
        <v>2397</v>
      </c>
      <c r="I274" s="200">
        <v>2</v>
      </c>
      <c r="J274" s="198" t="s">
        <v>1465</v>
      </c>
      <c r="K274" s="221" t="s">
        <v>105</v>
      </c>
      <c r="L274" s="22"/>
      <c r="M274" s="9"/>
      <c r="N274" s="9"/>
      <c r="O274" s="9"/>
      <c r="P274" s="9"/>
      <c r="Q274" s="9"/>
    </row>
    <row r="275" spans="2:17" customFormat="1" hidden="1">
      <c r="B275" s="120" t="s">
        <v>470</v>
      </c>
      <c r="C275" s="221" t="s">
        <v>1478</v>
      </c>
      <c r="D275" s="219" t="s">
        <v>1165</v>
      </c>
      <c r="E275" s="198" t="s">
        <v>78</v>
      </c>
      <c r="F275" s="199">
        <v>741203</v>
      </c>
      <c r="G275" s="199" t="s">
        <v>64</v>
      </c>
      <c r="H275" s="120"/>
      <c r="I275" s="200">
        <v>2</v>
      </c>
      <c r="J275" s="141" t="s">
        <v>61</v>
      </c>
      <c r="K275" s="221" t="s">
        <v>851</v>
      </c>
      <c r="L275" s="25"/>
      <c r="M275" s="9"/>
      <c r="N275" s="9"/>
      <c r="O275" s="9"/>
      <c r="P275" s="9"/>
      <c r="Q275" s="9"/>
    </row>
    <row r="276" spans="2:17" customFormat="1" hidden="1">
      <c r="B276" s="120" t="s">
        <v>471</v>
      </c>
      <c r="C276" s="221" t="s">
        <v>1478</v>
      </c>
      <c r="D276" s="219" t="s">
        <v>1165</v>
      </c>
      <c r="E276" s="198" t="s">
        <v>89</v>
      </c>
      <c r="F276" s="199">
        <v>741201</v>
      </c>
      <c r="G276" s="199" t="s">
        <v>182</v>
      </c>
      <c r="H276" s="120"/>
      <c r="I276" s="200">
        <v>2</v>
      </c>
      <c r="J276" s="141" t="s">
        <v>61</v>
      </c>
      <c r="K276" s="221" t="s">
        <v>851</v>
      </c>
      <c r="L276" s="25"/>
      <c r="M276" s="9"/>
      <c r="N276" s="9"/>
      <c r="O276" s="9"/>
      <c r="P276" s="9"/>
      <c r="Q276" s="9"/>
    </row>
    <row r="277" spans="2:17" customFormat="1" hidden="1">
      <c r="B277" s="120" t="s">
        <v>472</v>
      </c>
      <c r="C277" s="221" t="s">
        <v>1478</v>
      </c>
      <c r="D277" s="219" t="s">
        <v>1165</v>
      </c>
      <c r="E277" s="198" t="s">
        <v>103</v>
      </c>
      <c r="F277" s="199">
        <v>722307</v>
      </c>
      <c r="G277" s="199" t="s">
        <v>83</v>
      </c>
      <c r="H277" s="120"/>
      <c r="I277" s="200">
        <v>1</v>
      </c>
      <c r="J277" s="141" t="s">
        <v>61</v>
      </c>
      <c r="K277" s="221" t="s">
        <v>851</v>
      </c>
      <c r="L277" s="25"/>
      <c r="M277" s="9"/>
      <c r="N277" s="9"/>
      <c r="O277" s="9"/>
      <c r="P277" s="9"/>
      <c r="Q277" s="9"/>
    </row>
    <row r="278" spans="2:17" customFormat="1" hidden="1">
      <c r="B278" s="120" t="s">
        <v>473</v>
      </c>
      <c r="C278" s="221" t="s">
        <v>1478</v>
      </c>
      <c r="D278" s="219" t="s">
        <v>1165</v>
      </c>
      <c r="E278" s="198" t="s">
        <v>217</v>
      </c>
      <c r="F278" s="199">
        <v>722204</v>
      </c>
      <c r="G278" s="199" t="s">
        <v>185</v>
      </c>
      <c r="H278" s="120"/>
      <c r="I278" s="200">
        <v>3</v>
      </c>
      <c r="J278" s="141" t="s">
        <v>61</v>
      </c>
      <c r="K278" s="221" t="s">
        <v>851</v>
      </c>
      <c r="L278" s="25"/>
      <c r="M278" s="9"/>
      <c r="N278" s="9"/>
      <c r="O278" s="9"/>
      <c r="P278" s="9"/>
      <c r="Q278" s="9"/>
    </row>
    <row r="279" spans="2:17" customFormat="1" hidden="1">
      <c r="B279" s="120" t="s">
        <v>474</v>
      </c>
      <c r="C279" s="221" t="s">
        <v>1478</v>
      </c>
      <c r="D279" s="219" t="s">
        <v>1165</v>
      </c>
      <c r="E279" s="198" t="s">
        <v>198</v>
      </c>
      <c r="F279" s="199">
        <v>712618</v>
      </c>
      <c r="G279" s="199" t="s">
        <v>86</v>
      </c>
      <c r="H279" s="120"/>
      <c r="I279" s="200">
        <v>2</v>
      </c>
      <c r="J279" s="141" t="s">
        <v>61</v>
      </c>
      <c r="K279" s="221" t="s">
        <v>851</v>
      </c>
      <c r="L279" s="25"/>
      <c r="M279" s="9"/>
      <c r="N279" s="9"/>
      <c r="O279" s="9"/>
      <c r="P279" s="9"/>
      <c r="Q279" s="9"/>
    </row>
    <row r="280" spans="2:17" customFormat="1" hidden="1">
      <c r="B280" s="120" t="s">
        <v>475</v>
      </c>
      <c r="C280" s="221" t="s">
        <v>1480</v>
      </c>
      <c r="D280" s="8" t="s">
        <v>258</v>
      </c>
      <c r="E280" s="243" t="s">
        <v>236</v>
      </c>
      <c r="F280" s="199">
        <v>711402</v>
      </c>
      <c r="G280" s="199" t="s">
        <v>854</v>
      </c>
      <c r="H280" s="120" t="s">
        <v>1324</v>
      </c>
      <c r="I280" s="200">
        <v>3</v>
      </c>
      <c r="J280" s="141" t="s">
        <v>547</v>
      </c>
      <c r="K280" s="242" t="s">
        <v>41</v>
      </c>
      <c r="L280" s="25"/>
      <c r="M280" s="9"/>
      <c r="N280" s="9"/>
      <c r="O280" s="9"/>
      <c r="P280" s="9"/>
      <c r="Q280" s="9"/>
    </row>
    <row r="281" spans="2:17" customFormat="1" hidden="1">
      <c r="B281" s="120" t="s">
        <v>476</v>
      </c>
      <c r="C281" s="221" t="s">
        <v>1480</v>
      </c>
      <c r="D281" s="219" t="s">
        <v>258</v>
      </c>
      <c r="E281" s="198" t="s">
        <v>78</v>
      </c>
      <c r="F281" s="199">
        <v>741203</v>
      </c>
      <c r="G281" s="199" t="s">
        <v>64</v>
      </c>
      <c r="H281" s="349" t="s">
        <v>2396</v>
      </c>
      <c r="I281" s="200">
        <v>2</v>
      </c>
      <c r="J281" s="198" t="s">
        <v>1465</v>
      </c>
      <c r="K281" s="221" t="s">
        <v>105</v>
      </c>
      <c r="L281" s="25"/>
      <c r="M281" s="9"/>
      <c r="N281" s="9"/>
      <c r="O281" s="9"/>
      <c r="P281" s="9"/>
      <c r="Q281" s="9"/>
    </row>
    <row r="282" spans="2:17" customFormat="1" hidden="1">
      <c r="B282" s="120" t="s">
        <v>477</v>
      </c>
      <c r="C282" s="221" t="s">
        <v>1480</v>
      </c>
      <c r="D282" s="219" t="s">
        <v>258</v>
      </c>
      <c r="E282" s="136" t="s">
        <v>87</v>
      </c>
      <c r="F282" s="199">
        <v>741103</v>
      </c>
      <c r="G282" s="199" t="s">
        <v>54</v>
      </c>
      <c r="H282" s="120" t="s">
        <v>1350</v>
      </c>
      <c r="I282" s="200">
        <v>1</v>
      </c>
      <c r="J282" s="198" t="s">
        <v>1465</v>
      </c>
      <c r="K282" s="221" t="s">
        <v>105</v>
      </c>
      <c r="L282" s="25"/>
      <c r="M282" s="9"/>
      <c r="N282" s="9"/>
      <c r="O282" s="9"/>
      <c r="P282" s="9"/>
      <c r="Q282" s="9"/>
    </row>
    <row r="283" spans="2:17" customFormat="1" hidden="1">
      <c r="B283" s="120" t="s">
        <v>478</v>
      </c>
      <c r="C283" s="221" t="s">
        <v>1480</v>
      </c>
      <c r="D283" s="219" t="s">
        <v>258</v>
      </c>
      <c r="E283" s="198" t="s">
        <v>36</v>
      </c>
      <c r="F283" s="199">
        <v>514101</v>
      </c>
      <c r="G283" s="199" t="s">
        <v>77</v>
      </c>
      <c r="H283" s="120" t="s">
        <v>1413</v>
      </c>
      <c r="I283" s="200">
        <v>2</v>
      </c>
      <c r="J283" s="7" t="s">
        <v>228</v>
      </c>
      <c r="K283" s="221" t="s">
        <v>104</v>
      </c>
      <c r="L283" s="25"/>
      <c r="M283" s="9"/>
      <c r="N283" s="9"/>
      <c r="O283" s="9"/>
      <c r="P283" s="9"/>
      <c r="Q283" s="9"/>
    </row>
    <row r="284" spans="2:17" customFormat="1" hidden="1">
      <c r="B284" s="120" t="s">
        <v>479</v>
      </c>
      <c r="C284" s="221" t="s">
        <v>1480</v>
      </c>
      <c r="D284" s="219" t="s">
        <v>258</v>
      </c>
      <c r="E284" s="198" t="s">
        <v>44</v>
      </c>
      <c r="F284" s="199">
        <v>512001</v>
      </c>
      <c r="G284" s="199" t="s">
        <v>81</v>
      </c>
      <c r="H284" s="120" t="s">
        <v>2260</v>
      </c>
      <c r="I284" s="200">
        <v>3</v>
      </c>
      <c r="J284" s="7" t="s">
        <v>228</v>
      </c>
      <c r="K284" s="221" t="s">
        <v>104</v>
      </c>
      <c r="L284" s="25"/>
      <c r="M284" s="9"/>
      <c r="N284" s="9"/>
      <c r="O284" s="9"/>
      <c r="P284" s="9"/>
      <c r="Q284" s="9"/>
    </row>
    <row r="285" spans="2:17" customFormat="1" hidden="1">
      <c r="B285" s="120" t="s">
        <v>480</v>
      </c>
      <c r="C285" s="122" t="s">
        <v>72</v>
      </c>
      <c r="D285" s="120" t="s">
        <v>73</v>
      </c>
      <c r="E285" s="198" t="s">
        <v>114</v>
      </c>
      <c r="F285" s="199">
        <v>514101</v>
      </c>
      <c r="G285" s="199" t="s">
        <v>77</v>
      </c>
      <c r="H285" s="120" t="s">
        <v>1413</v>
      </c>
      <c r="I285" s="200">
        <v>8</v>
      </c>
      <c r="J285" s="7" t="s">
        <v>228</v>
      </c>
      <c r="K285" s="221" t="s">
        <v>104</v>
      </c>
      <c r="L285" s="25"/>
      <c r="M285" s="9"/>
      <c r="N285" s="9"/>
      <c r="O285" s="9"/>
      <c r="P285" s="9"/>
      <c r="Q285" s="9"/>
    </row>
    <row r="286" spans="2:17" customFormat="1" hidden="1">
      <c r="B286" s="120" t="s">
        <v>481</v>
      </c>
      <c r="C286" s="221" t="s">
        <v>72</v>
      </c>
      <c r="D286" s="120" t="s">
        <v>73</v>
      </c>
      <c r="E286" s="243" t="s">
        <v>84</v>
      </c>
      <c r="F286" s="199">
        <v>343101</v>
      </c>
      <c r="G286" s="199" t="s">
        <v>65</v>
      </c>
      <c r="H286" s="158" t="s">
        <v>2346</v>
      </c>
      <c r="I286" s="200">
        <v>2</v>
      </c>
      <c r="J286" s="141" t="s">
        <v>547</v>
      </c>
      <c r="K286" s="221" t="s">
        <v>41</v>
      </c>
      <c r="L286" s="25"/>
      <c r="M286" s="9"/>
      <c r="N286" s="9"/>
      <c r="O286" s="9"/>
      <c r="P286" s="9"/>
      <c r="Q286" s="9"/>
    </row>
    <row r="287" spans="2:17" customFormat="1" hidden="1">
      <c r="B287" s="120" t="s">
        <v>482</v>
      </c>
      <c r="C287" s="221" t="s">
        <v>72</v>
      </c>
      <c r="D287" s="120" t="s">
        <v>73</v>
      </c>
      <c r="E287" s="243" t="s">
        <v>1481</v>
      </c>
      <c r="F287" s="199">
        <v>731305</v>
      </c>
      <c r="G287" s="199" t="s">
        <v>223</v>
      </c>
      <c r="H287" s="120" t="s">
        <v>1321</v>
      </c>
      <c r="I287" s="200">
        <v>1</v>
      </c>
      <c r="J287" s="141" t="s">
        <v>547</v>
      </c>
      <c r="K287" s="221" t="s">
        <v>41</v>
      </c>
      <c r="L287" s="25"/>
      <c r="M287" s="9"/>
      <c r="N287" s="9"/>
      <c r="O287" s="9"/>
      <c r="P287" s="9"/>
      <c r="Q287" s="9"/>
    </row>
    <row r="288" spans="2:17" customFormat="1" hidden="1">
      <c r="B288" s="120" t="s">
        <v>483</v>
      </c>
      <c r="C288" s="221" t="s">
        <v>72</v>
      </c>
      <c r="D288" s="120" t="s">
        <v>73</v>
      </c>
      <c r="E288" s="243" t="s">
        <v>594</v>
      </c>
      <c r="F288" s="199">
        <v>712101</v>
      </c>
      <c r="G288" s="199" t="s">
        <v>184</v>
      </c>
      <c r="H288" s="158" t="s">
        <v>2346</v>
      </c>
      <c r="I288" s="200">
        <v>2</v>
      </c>
      <c r="J288" s="141" t="s">
        <v>547</v>
      </c>
      <c r="K288" s="221" t="s">
        <v>41</v>
      </c>
      <c r="L288" s="25"/>
      <c r="M288" s="9"/>
      <c r="N288" s="9"/>
      <c r="O288" s="9"/>
      <c r="P288" s="9"/>
      <c r="Q288" s="9"/>
    </row>
    <row r="289" spans="2:17" customFormat="1" hidden="1">
      <c r="B289" s="120" t="s">
        <v>484</v>
      </c>
      <c r="C289" s="221" t="s">
        <v>72</v>
      </c>
      <c r="D289" s="120" t="s">
        <v>73</v>
      </c>
      <c r="E289" s="198" t="s">
        <v>103</v>
      </c>
      <c r="F289" s="199">
        <v>722307</v>
      </c>
      <c r="G289" s="199" t="s">
        <v>83</v>
      </c>
      <c r="H289" s="348" t="s">
        <v>1350</v>
      </c>
      <c r="I289" s="200">
        <v>8</v>
      </c>
      <c r="J289" s="198" t="s">
        <v>1465</v>
      </c>
      <c r="K289" s="221" t="s">
        <v>105</v>
      </c>
      <c r="L289" s="25"/>
      <c r="M289" s="9"/>
      <c r="N289" s="9"/>
      <c r="O289" s="9"/>
      <c r="P289" s="9"/>
      <c r="Q289" s="9"/>
    </row>
    <row r="290" spans="2:17" customFormat="1" hidden="1">
      <c r="B290" s="120" t="s">
        <v>485</v>
      </c>
      <c r="C290" s="221" t="s">
        <v>72</v>
      </c>
      <c r="D290" s="120" t="s">
        <v>73</v>
      </c>
      <c r="E290" s="303" t="s">
        <v>57</v>
      </c>
      <c r="F290" s="199">
        <v>751201</v>
      </c>
      <c r="G290" s="199" t="s">
        <v>68</v>
      </c>
      <c r="H290" s="120" t="s">
        <v>2396</v>
      </c>
      <c r="I290" s="200">
        <v>3</v>
      </c>
      <c r="J290" s="198" t="s">
        <v>1465</v>
      </c>
      <c r="K290" s="221" t="s">
        <v>105</v>
      </c>
      <c r="L290" s="25"/>
      <c r="M290" s="9"/>
      <c r="N290" s="9"/>
      <c r="O290" s="9"/>
      <c r="P290" s="9"/>
      <c r="Q290" s="9"/>
    </row>
    <row r="291" spans="2:17" customFormat="1" hidden="1">
      <c r="B291" s="120" t="s">
        <v>486</v>
      </c>
      <c r="C291" s="221" t="s">
        <v>72</v>
      </c>
      <c r="D291" s="120" t="s">
        <v>73</v>
      </c>
      <c r="E291" s="136" t="s">
        <v>87</v>
      </c>
      <c r="F291" s="199">
        <v>741103</v>
      </c>
      <c r="G291" s="199" t="s">
        <v>54</v>
      </c>
      <c r="H291" s="120" t="s">
        <v>1345</v>
      </c>
      <c r="I291" s="200">
        <v>2</v>
      </c>
      <c r="J291" s="198" t="s">
        <v>1465</v>
      </c>
      <c r="K291" s="221" t="s">
        <v>105</v>
      </c>
      <c r="L291" s="25"/>
      <c r="M291" s="9"/>
      <c r="N291" s="9"/>
      <c r="O291" s="9"/>
      <c r="P291" s="9"/>
      <c r="Q291" s="9"/>
    </row>
    <row r="292" spans="2:17" customFormat="1" hidden="1">
      <c r="B292" s="120" t="s">
        <v>487</v>
      </c>
      <c r="C292" s="221" t="s">
        <v>72</v>
      </c>
      <c r="D292" s="120" t="s">
        <v>73</v>
      </c>
      <c r="E292" s="198" t="s">
        <v>39</v>
      </c>
      <c r="F292" s="199">
        <v>711204</v>
      </c>
      <c r="G292" s="199" t="s">
        <v>106</v>
      </c>
      <c r="H292" s="120" t="s">
        <v>2396</v>
      </c>
      <c r="I292" s="200">
        <v>2</v>
      </c>
      <c r="J292" s="198" t="s">
        <v>1465</v>
      </c>
      <c r="K292" s="221" t="s">
        <v>105</v>
      </c>
      <c r="L292" s="25"/>
      <c r="M292" s="9"/>
      <c r="N292" s="9"/>
      <c r="O292" s="9"/>
      <c r="P292" s="9"/>
      <c r="Q292" s="9"/>
    </row>
    <row r="293" spans="2:17" customFormat="1" hidden="1">
      <c r="B293" s="120" t="s">
        <v>488</v>
      </c>
      <c r="C293" s="221" t="s">
        <v>72</v>
      </c>
      <c r="D293" s="120" t="s">
        <v>73</v>
      </c>
      <c r="E293" s="198" t="s">
        <v>198</v>
      </c>
      <c r="F293" s="199">
        <v>712618</v>
      </c>
      <c r="G293" s="199" t="s">
        <v>86</v>
      </c>
      <c r="H293" s="115" t="s">
        <v>1348</v>
      </c>
      <c r="I293" s="200">
        <v>6</v>
      </c>
      <c r="J293" s="198" t="s">
        <v>1465</v>
      </c>
      <c r="K293" s="221" t="s">
        <v>105</v>
      </c>
      <c r="L293" s="25"/>
      <c r="M293" s="9"/>
      <c r="N293" s="9"/>
      <c r="O293" s="9"/>
      <c r="P293" s="9"/>
      <c r="Q293" s="9"/>
    </row>
    <row r="294" spans="2:17" customFormat="1" hidden="1">
      <c r="B294" s="120" t="s">
        <v>489</v>
      </c>
      <c r="C294" s="221" t="s">
        <v>72</v>
      </c>
      <c r="D294" s="120" t="s">
        <v>73</v>
      </c>
      <c r="E294" s="198" t="s">
        <v>85</v>
      </c>
      <c r="F294" s="199">
        <v>721306</v>
      </c>
      <c r="G294" s="199" t="s">
        <v>857</v>
      </c>
      <c r="H294" s="349" t="s">
        <v>2397</v>
      </c>
      <c r="I294" s="200">
        <v>3</v>
      </c>
      <c r="J294" s="198" t="s">
        <v>1465</v>
      </c>
      <c r="K294" s="221" t="s">
        <v>105</v>
      </c>
      <c r="L294" s="20"/>
      <c r="M294" s="9"/>
      <c r="N294" s="9"/>
      <c r="O294" s="9"/>
      <c r="P294" s="9"/>
      <c r="Q294" s="9"/>
    </row>
    <row r="295" spans="2:17" customFormat="1" hidden="1">
      <c r="B295" s="120" t="s">
        <v>490</v>
      </c>
      <c r="C295" s="221" t="s">
        <v>72</v>
      </c>
      <c r="D295" s="120" t="s">
        <v>73</v>
      </c>
      <c r="E295" s="198" t="s">
        <v>78</v>
      </c>
      <c r="F295" s="199">
        <v>741203</v>
      </c>
      <c r="G295" s="199" t="s">
        <v>64</v>
      </c>
      <c r="H295" s="349" t="s">
        <v>2396</v>
      </c>
      <c r="I295" s="200">
        <v>1</v>
      </c>
      <c r="J295" s="198" t="s">
        <v>1465</v>
      </c>
      <c r="K295" s="221" t="s">
        <v>105</v>
      </c>
      <c r="L295" s="20"/>
      <c r="M295" s="9"/>
      <c r="N295" s="9"/>
      <c r="O295" s="9"/>
      <c r="P295" s="9"/>
      <c r="Q295" s="9"/>
    </row>
    <row r="296" spans="2:17" customFormat="1" hidden="1">
      <c r="B296" s="120" t="s">
        <v>491</v>
      </c>
      <c r="C296" s="221" t="s">
        <v>72</v>
      </c>
      <c r="D296" s="120" t="s">
        <v>73</v>
      </c>
      <c r="E296" s="303" t="s">
        <v>37</v>
      </c>
      <c r="F296" s="199">
        <v>751201</v>
      </c>
      <c r="G296" s="199" t="s">
        <v>183</v>
      </c>
      <c r="H296" s="120" t="s">
        <v>2394</v>
      </c>
      <c r="I296" s="346">
        <v>1</v>
      </c>
      <c r="J296" s="198" t="s">
        <v>1465</v>
      </c>
      <c r="K296" s="221" t="s">
        <v>105</v>
      </c>
      <c r="L296" s="20"/>
      <c r="M296" s="286"/>
      <c r="N296" s="286"/>
      <c r="O296" s="286"/>
      <c r="P296" s="286"/>
      <c r="Q296" s="286"/>
    </row>
    <row r="297" spans="2:17" customFormat="1" hidden="1">
      <c r="B297" s="120" t="s">
        <v>492</v>
      </c>
      <c r="C297" s="221" t="s">
        <v>1482</v>
      </c>
      <c r="D297" s="8" t="s">
        <v>576</v>
      </c>
      <c r="E297" s="198" t="s">
        <v>34</v>
      </c>
      <c r="F297" s="199">
        <v>723103</v>
      </c>
      <c r="G297" s="199" t="s">
        <v>75</v>
      </c>
      <c r="H297" s="120" t="s">
        <v>1420</v>
      </c>
      <c r="I297" s="231">
        <v>4</v>
      </c>
      <c r="J297" s="7" t="s">
        <v>228</v>
      </c>
      <c r="K297" s="221" t="s">
        <v>104</v>
      </c>
      <c r="L297" s="22"/>
      <c r="M297" s="9"/>
      <c r="N297" s="9"/>
      <c r="O297" s="9"/>
      <c r="P297" s="9"/>
      <c r="Q297" s="9"/>
    </row>
    <row r="298" spans="2:17" customFormat="1" hidden="1">
      <c r="B298" s="120" t="s">
        <v>493</v>
      </c>
      <c r="C298" s="221" t="s">
        <v>1482</v>
      </c>
      <c r="D298" s="219" t="s">
        <v>576</v>
      </c>
      <c r="E298" s="198" t="s">
        <v>206</v>
      </c>
      <c r="F298" s="199">
        <v>722204</v>
      </c>
      <c r="G298" s="199" t="s">
        <v>185</v>
      </c>
      <c r="H298" s="348" t="s">
        <v>1350</v>
      </c>
      <c r="I298" s="231">
        <v>2</v>
      </c>
      <c r="J298" s="198" t="s">
        <v>1465</v>
      </c>
      <c r="K298" s="221" t="s">
        <v>105</v>
      </c>
      <c r="L298" s="22"/>
      <c r="M298" s="9"/>
      <c r="N298" s="9"/>
      <c r="O298" s="9"/>
      <c r="P298" s="9"/>
      <c r="Q298" s="9"/>
    </row>
    <row r="299" spans="2:17" customFormat="1" hidden="1">
      <c r="B299" s="120" t="s">
        <v>494</v>
      </c>
      <c r="C299" s="221" t="s">
        <v>1482</v>
      </c>
      <c r="D299" s="219" t="s">
        <v>576</v>
      </c>
      <c r="E299" s="198" t="s">
        <v>103</v>
      </c>
      <c r="F299" s="199">
        <v>722307</v>
      </c>
      <c r="G299" s="199" t="s">
        <v>83</v>
      </c>
      <c r="H299" s="348" t="s">
        <v>1350</v>
      </c>
      <c r="I299" s="231">
        <v>3</v>
      </c>
      <c r="J299" s="198" t="s">
        <v>1465</v>
      </c>
      <c r="K299" s="221" t="s">
        <v>105</v>
      </c>
      <c r="L299" s="22"/>
      <c r="M299" s="9"/>
      <c r="N299" s="9"/>
      <c r="O299" s="9"/>
      <c r="P299" s="9"/>
      <c r="Q299" s="9"/>
    </row>
    <row r="300" spans="2:17" customFormat="1" hidden="1">
      <c r="B300" s="120" t="s">
        <v>500</v>
      </c>
      <c r="C300" s="221" t="s">
        <v>1482</v>
      </c>
      <c r="D300" s="219" t="s">
        <v>576</v>
      </c>
      <c r="E300" s="198" t="s">
        <v>44</v>
      </c>
      <c r="F300" s="199">
        <v>512001</v>
      </c>
      <c r="G300" s="199" t="s">
        <v>81</v>
      </c>
      <c r="H300" s="120" t="s">
        <v>2260</v>
      </c>
      <c r="I300" s="231">
        <v>1</v>
      </c>
      <c r="J300" s="7" t="s">
        <v>228</v>
      </c>
      <c r="K300" s="221" t="s">
        <v>104</v>
      </c>
      <c r="L300" s="22"/>
      <c r="M300" s="9"/>
      <c r="N300" s="9"/>
      <c r="O300" s="9"/>
      <c r="P300" s="9"/>
      <c r="Q300" s="9"/>
    </row>
    <row r="301" spans="2:17" customFormat="1">
      <c r="B301" s="120" t="s">
        <v>501</v>
      </c>
      <c r="C301" s="221" t="s">
        <v>1482</v>
      </c>
      <c r="D301" s="219" t="s">
        <v>576</v>
      </c>
      <c r="E301" s="321" t="s">
        <v>45</v>
      </c>
      <c r="F301" s="199">
        <v>522301</v>
      </c>
      <c r="G301" s="199" t="s">
        <v>43</v>
      </c>
      <c r="H301" s="120" t="s">
        <v>1413</v>
      </c>
      <c r="I301" s="231">
        <v>2</v>
      </c>
      <c r="J301" s="7" t="s">
        <v>228</v>
      </c>
      <c r="K301" s="221" t="s">
        <v>104</v>
      </c>
      <c r="L301" s="22"/>
      <c r="M301" s="9"/>
      <c r="N301" s="9"/>
      <c r="O301" s="9"/>
      <c r="P301" s="9"/>
      <c r="Q301" s="9"/>
    </row>
    <row r="302" spans="2:17" customFormat="1" hidden="1">
      <c r="B302" s="120" t="s">
        <v>502</v>
      </c>
      <c r="C302" s="221" t="s">
        <v>1482</v>
      </c>
      <c r="D302" s="219" t="s">
        <v>576</v>
      </c>
      <c r="E302" s="198" t="s">
        <v>1435</v>
      </c>
      <c r="F302" s="199">
        <v>713203</v>
      </c>
      <c r="G302" s="199" t="s">
        <v>66</v>
      </c>
      <c r="H302" s="349" t="s">
        <v>2396</v>
      </c>
      <c r="I302" s="231">
        <v>1</v>
      </c>
      <c r="J302" s="198" t="s">
        <v>1465</v>
      </c>
      <c r="K302" s="221" t="s">
        <v>105</v>
      </c>
      <c r="L302" s="22"/>
      <c r="M302" s="9"/>
      <c r="N302" s="9"/>
      <c r="O302" s="9"/>
      <c r="P302" s="9"/>
      <c r="Q302" s="9"/>
    </row>
    <row r="303" spans="2:17" customFormat="1" hidden="1">
      <c r="B303" s="120" t="s">
        <v>503</v>
      </c>
      <c r="C303" s="221" t="s">
        <v>1482</v>
      </c>
      <c r="D303" s="219" t="s">
        <v>576</v>
      </c>
      <c r="E303" s="198" t="s">
        <v>36</v>
      </c>
      <c r="F303" s="199">
        <v>514101</v>
      </c>
      <c r="G303" s="199" t="s">
        <v>77</v>
      </c>
      <c r="H303" s="120" t="s">
        <v>1413</v>
      </c>
      <c r="I303" s="231">
        <v>2</v>
      </c>
      <c r="J303" s="7" t="s">
        <v>228</v>
      </c>
      <c r="K303" s="221" t="s">
        <v>104</v>
      </c>
      <c r="L303" s="22"/>
      <c r="M303" s="9"/>
      <c r="N303" s="9"/>
      <c r="O303" s="9"/>
      <c r="P303" s="9"/>
      <c r="Q303" s="9"/>
    </row>
    <row r="304" spans="2:17" customFormat="1" hidden="1">
      <c r="B304" s="120" t="s">
        <v>504</v>
      </c>
      <c r="C304" s="221" t="s">
        <v>531</v>
      </c>
      <c r="D304" s="219" t="s">
        <v>532</v>
      </c>
      <c r="E304" s="221" t="s">
        <v>85</v>
      </c>
      <c r="F304" s="120">
        <v>721306</v>
      </c>
      <c r="G304" s="120" t="s">
        <v>63</v>
      </c>
      <c r="H304" s="120"/>
      <c r="I304" s="317">
        <v>0</v>
      </c>
      <c r="J304" s="198" t="s">
        <v>1465</v>
      </c>
      <c r="K304" s="221"/>
      <c r="L304" s="22"/>
      <c r="M304" s="9"/>
      <c r="N304" s="9"/>
      <c r="O304" s="9"/>
      <c r="P304" s="9"/>
      <c r="Q304" s="9"/>
    </row>
    <row r="305" spans="2:17" customFormat="1" hidden="1">
      <c r="B305" s="120" t="s">
        <v>505</v>
      </c>
      <c r="C305" s="221" t="s">
        <v>531</v>
      </c>
      <c r="D305" s="219" t="s">
        <v>532</v>
      </c>
      <c r="E305" s="221" t="s">
        <v>215</v>
      </c>
      <c r="F305" s="120">
        <v>751201</v>
      </c>
      <c r="G305" s="120" t="s">
        <v>183</v>
      </c>
      <c r="H305" s="348" t="s">
        <v>2248</v>
      </c>
      <c r="I305" s="137">
        <v>16</v>
      </c>
      <c r="J305" s="172" t="s">
        <v>117</v>
      </c>
      <c r="K305" s="221" t="s">
        <v>943</v>
      </c>
      <c r="L305" s="22"/>
      <c r="M305" s="9"/>
      <c r="N305" s="9"/>
      <c r="O305" s="9"/>
      <c r="P305" s="9"/>
      <c r="Q305" s="9"/>
    </row>
    <row r="306" spans="2:17" customFormat="1" hidden="1">
      <c r="B306" s="120" t="s">
        <v>506</v>
      </c>
      <c r="C306" s="221" t="s">
        <v>531</v>
      </c>
      <c r="D306" s="219" t="s">
        <v>532</v>
      </c>
      <c r="E306" s="221" t="s">
        <v>239</v>
      </c>
      <c r="F306" s="120">
        <v>741201</v>
      </c>
      <c r="G306" s="120" t="s">
        <v>182</v>
      </c>
      <c r="H306" s="120"/>
      <c r="I306" s="137">
        <v>1</v>
      </c>
      <c r="J306" s="172" t="s">
        <v>61</v>
      </c>
      <c r="K306" s="221" t="s">
        <v>851</v>
      </c>
      <c r="L306" s="20"/>
      <c r="M306" s="9"/>
      <c r="N306" s="9"/>
      <c r="O306" s="9"/>
      <c r="P306" s="9"/>
      <c r="Q306" s="9"/>
    </row>
    <row r="307" spans="2:17" customFormat="1" hidden="1">
      <c r="B307" s="120" t="s">
        <v>507</v>
      </c>
      <c r="C307" s="221" t="s">
        <v>531</v>
      </c>
      <c r="D307" s="219" t="s">
        <v>532</v>
      </c>
      <c r="E307" s="198" t="s">
        <v>78</v>
      </c>
      <c r="F307" s="120">
        <v>741203</v>
      </c>
      <c r="G307" s="120" t="s">
        <v>64</v>
      </c>
      <c r="H307" s="349" t="s">
        <v>2396</v>
      </c>
      <c r="I307" s="137">
        <v>5</v>
      </c>
      <c r="J307" s="198" t="s">
        <v>1465</v>
      </c>
      <c r="K307" s="221" t="s">
        <v>105</v>
      </c>
      <c r="L307" s="20"/>
      <c r="M307" s="9"/>
      <c r="N307" s="9"/>
      <c r="O307" s="9"/>
      <c r="P307" s="9"/>
      <c r="Q307" s="9"/>
    </row>
    <row r="308" spans="2:17" customFormat="1" hidden="1">
      <c r="B308" s="120" t="s">
        <v>508</v>
      </c>
      <c r="C308" s="221" t="s">
        <v>531</v>
      </c>
      <c r="D308" s="219" t="s">
        <v>532</v>
      </c>
      <c r="E308" s="136" t="s">
        <v>87</v>
      </c>
      <c r="F308" s="120">
        <v>741103</v>
      </c>
      <c r="G308" s="120" t="s">
        <v>54</v>
      </c>
      <c r="H308" s="348" t="s">
        <v>2248</v>
      </c>
      <c r="I308" s="137">
        <v>9</v>
      </c>
      <c r="J308" s="172" t="s">
        <v>117</v>
      </c>
      <c r="K308" s="221" t="s">
        <v>943</v>
      </c>
      <c r="L308" s="22"/>
      <c r="M308" s="9"/>
      <c r="N308" s="9"/>
      <c r="O308" s="9"/>
      <c r="P308" s="9"/>
      <c r="Q308" s="9"/>
    </row>
    <row r="309" spans="2:17" customFormat="1" hidden="1">
      <c r="B309" s="120" t="s">
        <v>509</v>
      </c>
      <c r="C309" s="221" t="s">
        <v>531</v>
      </c>
      <c r="D309" s="219" t="s">
        <v>532</v>
      </c>
      <c r="E309" s="221" t="s">
        <v>114</v>
      </c>
      <c r="F309" s="120">
        <v>514101</v>
      </c>
      <c r="G309" s="120" t="s">
        <v>77</v>
      </c>
      <c r="H309" s="120" t="s">
        <v>2338</v>
      </c>
      <c r="I309" s="137">
        <v>24</v>
      </c>
      <c r="J309" s="172" t="s">
        <v>117</v>
      </c>
      <c r="K309" s="221" t="s">
        <v>943</v>
      </c>
      <c r="L309" s="22"/>
      <c r="M309" s="9"/>
      <c r="N309" s="9"/>
      <c r="O309" s="9"/>
      <c r="P309" s="9"/>
      <c r="Q309" s="9"/>
    </row>
    <row r="310" spans="2:17" customFormat="1" hidden="1">
      <c r="B310" s="120" t="s">
        <v>510</v>
      </c>
      <c r="C310" s="221" t="s">
        <v>531</v>
      </c>
      <c r="D310" s="219" t="s">
        <v>532</v>
      </c>
      <c r="E310" s="221" t="s">
        <v>80</v>
      </c>
      <c r="F310" s="120">
        <v>512001</v>
      </c>
      <c r="G310" s="155" t="s">
        <v>81</v>
      </c>
      <c r="H310" s="120" t="s">
        <v>2338</v>
      </c>
      <c r="I310" s="137">
        <v>14</v>
      </c>
      <c r="J310" s="172" t="s">
        <v>117</v>
      </c>
      <c r="K310" s="221" t="s">
        <v>943</v>
      </c>
      <c r="L310" s="22"/>
      <c r="M310" s="9"/>
      <c r="N310" s="9"/>
      <c r="O310" s="9"/>
      <c r="P310" s="9"/>
      <c r="Q310" s="9"/>
    </row>
    <row r="311" spans="2:17" customFormat="1" hidden="1">
      <c r="B311" s="120" t="s">
        <v>511</v>
      </c>
      <c r="C311" s="221" t="s">
        <v>531</v>
      </c>
      <c r="D311" s="219" t="s">
        <v>532</v>
      </c>
      <c r="E311" s="198" t="s">
        <v>1435</v>
      </c>
      <c r="F311" s="120">
        <v>713203</v>
      </c>
      <c r="G311" s="120" t="s">
        <v>66</v>
      </c>
      <c r="H311" s="349" t="s">
        <v>2396</v>
      </c>
      <c r="I311" s="137">
        <v>4</v>
      </c>
      <c r="J311" s="198" t="s">
        <v>1465</v>
      </c>
      <c r="K311" s="221" t="s">
        <v>105</v>
      </c>
      <c r="L311" s="22"/>
      <c r="M311" s="9"/>
      <c r="N311" s="9"/>
      <c r="O311" s="9"/>
      <c r="P311" s="9"/>
      <c r="Q311" s="9"/>
    </row>
    <row r="312" spans="2:17" customFormat="1" hidden="1">
      <c r="B312" s="120" t="s">
        <v>512</v>
      </c>
      <c r="C312" s="221" t="s">
        <v>531</v>
      </c>
      <c r="D312" s="219" t="s">
        <v>532</v>
      </c>
      <c r="E312" s="221" t="s">
        <v>74</v>
      </c>
      <c r="F312" s="120">
        <v>723103</v>
      </c>
      <c r="G312" s="120" t="s">
        <v>75</v>
      </c>
      <c r="H312" s="120" t="s">
        <v>2357</v>
      </c>
      <c r="I312" s="137">
        <v>26</v>
      </c>
      <c r="J312" s="172" t="s">
        <v>117</v>
      </c>
      <c r="K312" s="221" t="s">
        <v>943</v>
      </c>
      <c r="L312" s="22"/>
      <c r="M312" s="9"/>
      <c r="N312" s="9"/>
      <c r="O312" s="9"/>
      <c r="P312" s="9"/>
      <c r="Q312" s="9"/>
    </row>
    <row r="313" spans="2:17" customFormat="1" hidden="1">
      <c r="B313" s="120" t="s">
        <v>513</v>
      </c>
      <c r="C313" s="221" t="s">
        <v>531</v>
      </c>
      <c r="D313" s="219" t="s">
        <v>532</v>
      </c>
      <c r="E313" s="221" t="s">
        <v>533</v>
      </c>
      <c r="F313" s="120">
        <v>723310</v>
      </c>
      <c r="G313" s="120" t="s">
        <v>282</v>
      </c>
      <c r="H313" s="233"/>
      <c r="I313" s="317">
        <v>0</v>
      </c>
      <c r="J313" s="234"/>
      <c r="K313" s="232"/>
      <c r="L313" s="22"/>
      <c r="M313" s="9"/>
      <c r="N313" s="9"/>
      <c r="O313" s="9"/>
      <c r="P313" s="9"/>
      <c r="Q313" s="9"/>
    </row>
    <row r="314" spans="2:17" customFormat="1" hidden="1">
      <c r="B314" s="120" t="s">
        <v>514</v>
      </c>
      <c r="C314" s="221" t="s">
        <v>531</v>
      </c>
      <c r="D314" s="219" t="s">
        <v>532</v>
      </c>
      <c r="E314" s="198" t="s">
        <v>198</v>
      </c>
      <c r="F314" s="199">
        <v>712618</v>
      </c>
      <c r="G314" s="120" t="s">
        <v>86</v>
      </c>
      <c r="H314" s="120" t="s">
        <v>2413</v>
      </c>
      <c r="I314" s="137">
        <v>7</v>
      </c>
      <c r="J314" s="172" t="s">
        <v>117</v>
      </c>
      <c r="K314" s="221" t="s">
        <v>943</v>
      </c>
      <c r="L314" s="22"/>
      <c r="M314" s="9"/>
      <c r="N314" s="9"/>
      <c r="O314" s="9"/>
      <c r="P314" s="9"/>
      <c r="Q314" s="9"/>
    </row>
    <row r="315" spans="2:17" customFormat="1" hidden="1">
      <c r="B315" s="120" t="s">
        <v>515</v>
      </c>
      <c r="C315" s="221" t="s">
        <v>531</v>
      </c>
      <c r="D315" s="219" t="s">
        <v>532</v>
      </c>
      <c r="E315" s="243" t="s">
        <v>56</v>
      </c>
      <c r="F315" s="120">
        <v>712905</v>
      </c>
      <c r="G315" s="120" t="s">
        <v>67</v>
      </c>
      <c r="H315" s="233"/>
      <c r="I315" s="317">
        <v>0</v>
      </c>
      <c r="J315" s="234" t="s">
        <v>61</v>
      </c>
      <c r="K315" s="232"/>
      <c r="L315" s="22"/>
      <c r="M315" s="9"/>
      <c r="N315" s="9"/>
      <c r="O315" s="9"/>
      <c r="P315" s="9"/>
      <c r="Q315" s="9"/>
    </row>
    <row r="316" spans="2:17" customFormat="1" hidden="1">
      <c r="B316" s="120" t="s">
        <v>516</v>
      </c>
      <c r="C316" s="221" t="s">
        <v>531</v>
      </c>
      <c r="D316" s="219" t="s">
        <v>532</v>
      </c>
      <c r="E316" s="198" t="s">
        <v>103</v>
      </c>
      <c r="F316" s="120">
        <v>722307</v>
      </c>
      <c r="G316" s="120" t="s">
        <v>83</v>
      </c>
      <c r="H316" s="348" t="s">
        <v>1350</v>
      </c>
      <c r="I316" s="137">
        <v>5</v>
      </c>
      <c r="J316" s="243" t="s">
        <v>1465</v>
      </c>
      <c r="K316" s="221" t="s">
        <v>105</v>
      </c>
      <c r="L316" s="22"/>
      <c r="M316" s="9"/>
      <c r="N316" s="9"/>
      <c r="O316" s="9"/>
      <c r="P316" s="9"/>
      <c r="Q316" s="9"/>
    </row>
    <row r="317" spans="2:17" customFormat="1" hidden="1">
      <c r="B317" s="120" t="s">
        <v>946</v>
      </c>
      <c r="C317" s="221" t="s">
        <v>531</v>
      </c>
      <c r="D317" s="219" t="s">
        <v>532</v>
      </c>
      <c r="E317" s="303" t="s">
        <v>57</v>
      </c>
      <c r="F317" s="120">
        <v>751204</v>
      </c>
      <c r="G317" s="120" t="s">
        <v>68</v>
      </c>
      <c r="H317" s="120" t="s">
        <v>2396</v>
      </c>
      <c r="I317" s="137">
        <v>1</v>
      </c>
      <c r="J317" s="198" t="s">
        <v>1465</v>
      </c>
      <c r="K317" s="221" t="s">
        <v>105</v>
      </c>
      <c r="L317" s="22"/>
      <c r="M317" s="9"/>
      <c r="N317" s="9"/>
      <c r="O317" s="9"/>
      <c r="P317" s="9"/>
      <c r="Q317" s="9"/>
    </row>
    <row r="318" spans="2:17" customFormat="1">
      <c r="B318" s="120" t="s">
        <v>947</v>
      </c>
      <c r="C318" s="221" t="s">
        <v>531</v>
      </c>
      <c r="D318" s="219" t="s">
        <v>532</v>
      </c>
      <c r="E318" s="321" t="s">
        <v>45</v>
      </c>
      <c r="F318" s="120">
        <v>522301</v>
      </c>
      <c r="G318" s="120" t="s">
        <v>43</v>
      </c>
      <c r="H318" s="348" t="s">
        <v>2357</v>
      </c>
      <c r="I318" s="137">
        <v>18</v>
      </c>
      <c r="J318" s="172" t="s">
        <v>117</v>
      </c>
      <c r="K318" s="221" t="s">
        <v>943</v>
      </c>
      <c r="L318" s="25"/>
      <c r="M318" s="9"/>
      <c r="N318" s="9"/>
      <c r="O318" s="9"/>
      <c r="P318" s="9"/>
      <c r="Q318" s="9"/>
    </row>
    <row r="319" spans="2:17" customFormat="1" hidden="1">
      <c r="B319" s="120" t="s">
        <v>948</v>
      </c>
      <c r="C319" s="221" t="s">
        <v>531</v>
      </c>
      <c r="D319" s="219" t="s">
        <v>532</v>
      </c>
      <c r="E319" s="221" t="s">
        <v>91</v>
      </c>
      <c r="F319" s="120">
        <v>752205</v>
      </c>
      <c r="G319" s="120" t="s">
        <v>69</v>
      </c>
      <c r="H319" s="120" t="s">
        <v>2357</v>
      </c>
      <c r="I319" s="137">
        <v>6</v>
      </c>
      <c r="J319" s="172" t="s">
        <v>117</v>
      </c>
      <c r="K319" s="221" t="s">
        <v>943</v>
      </c>
      <c r="L319" s="25"/>
      <c r="M319" s="9"/>
      <c r="N319" s="9"/>
      <c r="O319" s="9"/>
      <c r="P319" s="9"/>
      <c r="Q319" s="9"/>
    </row>
    <row r="320" spans="2:17" customFormat="1" hidden="1">
      <c r="B320" s="120" t="s">
        <v>949</v>
      </c>
      <c r="C320" s="221" t="s">
        <v>531</v>
      </c>
      <c r="D320" s="219" t="s">
        <v>532</v>
      </c>
      <c r="E320" s="221" t="s">
        <v>218</v>
      </c>
      <c r="F320" s="120">
        <v>753402</v>
      </c>
      <c r="G320" s="120" t="s">
        <v>70</v>
      </c>
      <c r="H320" s="120" t="s">
        <v>2357</v>
      </c>
      <c r="I320" s="137">
        <v>14</v>
      </c>
      <c r="J320" s="172" t="s">
        <v>117</v>
      </c>
      <c r="K320" s="221" t="s">
        <v>943</v>
      </c>
      <c r="L320" s="25"/>
      <c r="M320" s="9"/>
      <c r="N320" s="9"/>
      <c r="O320" s="9"/>
      <c r="P320" s="9"/>
      <c r="Q320" s="9"/>
    </row>
    <row r="321" spans="2:17" ht="30" hidden="1">
      <c r="B321" s="120" t="s">
        <v>950</v>
      </c>
      <c r="C321" s="207" t="s">
        <v>1483</v>
      </c>
      <c r="D321" s="120" t="s">
        <v>143</v>
      </c>
      <c r="E321" s="303" t="s">
        <v>114</v>
      </c>
      <c r="F321" s="199">
        <v>514101</v>
      </c>
      <c r="G321" s="199" t="s">
        <v>77</v>
      </c>
      <c r="H321" s="155" t="s">
        <v>2288</v>
      </c>
      <c r="I321" s="200">
        <v>4</v>
      </c>
      <c r="J321" s="280" t="s">
        <v>116</v>
      </c>
      <c r="K321" s="207" t="s">
        <v>942</v>
      </c>
      <c r="L321" s="25"/>
      <c r="M321" s="195"/>
      <c r="N321" s="195"/>
      <c r="O321" s="195"/>
      <c r="P321" s="195"/>
      <c r="Q321" s="195"/>
    </row>
    <row r="322" spans="2:17" hidden="1">
      <c r="B322" s="120" t="s">
        <v>951</v>
      </c>
      <c r="C322" s="207" t="s">
        <v>1483</v>
      </c>
      <c r="D322" s="120" t="s">
        <v>143</v>
      </c>
      <c r="E322" s="303" t="s">
        <v>80</v>
      </c>
      <c r="F322" s="199">
        <v>512001</v>
      </c>
      <c r="G322" s="199" t="s">
        <v>81</v>
      </c>
      <c r="H322" s="120" t="s">
        <v>1413</v>
      </c>
      <c r="I322" s="200">
        <v>1</v>
      </c>
      <c r="J322" s="280" t="s">
        <v>116</v>
      </c>
      <c r="K322" s="207" t="s">
        <v>942</v>
      </c>
      <c r="L322" s="25"/>
      <c r="M322" s="195"/>
      <c r="N322" s="195"/>
      <c r="O322" s="195"/>
      <c r="P322" s="195"/>
      <c r="Q322" s="195"/>
    </row>
    <row r="323" spans="2:17">
      <c r="B323" s="120" t="s">
        <v>952</v>
      </c>
      <c r="C323" s="207" t="s">
        <v>1483</v>
      </c>
      <c r="D323" s="120" t="s">
        <v>143</v>
      </c>
      <c r="E323" s="321" t="s">
        <v>45</v>
      </c>
      <c r="F323" s="199">
        <v>522301</v>
      </c>
      <c r="G323" s="199" t="s">
        <v>43</v>
      </c>
      <c r="H323" s="120" t="s">
        <v>1421</v>
      </c>
      <c r="I323" s="200">
        <v>1</v>
      </c>
      <c r="J323" s="280" t="s">
        <v>116</v>
      </c>
      <c r="K323" s="207" t="s">
        <v>942</v>
      </c>
      <c r="L323" s="25"/>
      <c r="M323" s="195"/>
      <c r="N323" s="195"/>
      <c r="O323" s="195"/>
      <c r="P323" s="195"/>
      <c r="Q323" s="195"/>
    </row>
    <row r="324" spans="2:17" customFormat="1" hidden="1">
      <c r="B324" s="120" t="s">
        <v>953</v>
      </c>
      <c r="C324" s="221" t="s">
        <v>1483</v>
      </c>
      <c r="D324" s="219" t="s">
        <v>143</v>
      </c>
      <c r="E324" s="198" t="s">
        <v>74</v>
      </c>
      <c r="F324" s="199">
        <v>723103</v>
      </c>
      <c r="G324" s="199" t="s">
        <v>75</v>
      </c>
      <c r="H324" s="295" t="s">
        <v>1420</v>
      </c>
      <c r="I324" s="200">
        <v>5</v>
      </c>
      <c r="J324" s="141" t="s">
        <v>109</v>
      </c>
      <c r="K324" s="221" t="s">
        <v>237</v>
      </c>
      <c r="L324" s="25"/>
      <c r="M324" s="9"/>
      <c r="N324" s="9"/>
      <c r="O324" s="9"/>
      <c r="P324" s="9"/>
      <c r="Q324" s="9"/>
    </row>
    <row r="325" spans="2:17" customFormat="1" hidden="1">
      <c r="B325" s="120" t="s">
        <v>954</v>
      </c>
      <c r="C325" s="221" t="s">
        <v>1484</v>
      </c>
      <c r="D325" s="8" t="s">
        <v>174</v>
      </c>
      <c r="E325" s="303" t="s">
        <v>57</v>
      </c>
      <c r="F325" s="57">
        <v>751204</v>
      </c>
      <c r="G325" s="57" t="s">
        <v>68</v>
      </c>
      <c r="H325" s="120" t="s">
        <v>2396</v>
      </c>
      <c r="I325" s="200">
        <v>1</v>
      </c>
      <c r="J325" s="198" t="s">
        <v>1465</v>
      </c>
      <c r="K325" s="122" t="s">
        <v>105</v>
      </c>
      <c r="L325" s="25"/>
      <c r="M325" s="9"/>
      <c r="N325" s="9"/>
      <c r="O325" s="9"/>
      <c r="P325" s="9"/>
      <c r="Q325" s="9"/>
    </row>
    <row r="326" spans="2:17" customFormat="1">
      <c r="B326" s="120" t="s">
        <v>955</v>
      </c>
      <c r="C326" s="221" t="s">
        <v>1484</v>
      </c>
      <c r="D326" s="219" t="s">
        <v>174</v>
      </c>
      <c r="E326" s="321" t="s">
        <v>45</v>
      </c>
      <c r="F326" s="57">
        <v>522301</v>
      </c>
      <c r="G326" s="57" t="s">
        <v>43</v>
      </c>
      <c r="H326" s="295" t="s">
        <v>1342</v>
      </c>
      <c r="I326" s="200">
        <v>1</v>
      </c>
      <c r="J326" s="7" t="s">
        <v>1485</v>
      </c>
      <c r="K326" s="122" t="s">
        <v>35</v>
      </c>
      <c r="L326" s="22"/>
      <c r="M326" s="9"/>
      <c r="N326" s="9"/>
      <c r="O326" s="9"/>
      <c r="P326" s="9"/>
      <c r="Q326" s="9"/>
    </row>
    <row r="327" spans="2:17" customFormat="1" hidden="1">
      <c r="B327" s="120" t="s">
        <v>956</v>
      </c>
      <c r="C327" s="221" t="s">
        <v>1484</v>
      </c>
      <c r="D327" s="219" t="s">
        <v>174</v>
      </c>
      <c r="E327" s="332" t="s">
        <v>36</v>
      </c>
      <c r="F327" s="57">
        <v>514101</v>
      </c>
      <c r="G327" s="57" t="s">
        <v>77</v>
      </c>
      <c r="H327" s="295" t="s">
        <v>2282</v>
      </c>
      <c r="I327" s="200">
        <v>4</v>
      </c>
      <c r="J327" s="7" t="s">
        <v>1485</v>
      </c>
      <c r="K327" s="122" t="s">
        <v>35</v>
      </c>
      <c r="L327" s="22"/>
      <c r="M327" s="9"/>
      <c r="N327" s="9"/>
      <c r="O327" s="9"/>
      <c r="P327" s="9"/>
      <c r="Q327" s="9"/>
    </row>
    <row r="328" spans="2:17" customFormat="1" hidden="1">
      <c r="B328" s="120" t="s">
        <v>957</v>
      </c>
      <c r="C328" s="221" t="s">
        <v>1486</v>
      </c>
      <c r="D328" s="8" t="s">
        <v>256</v>
      </c>
      <c r="E328" s="198" t="s">
        <v>52</v>
      </c>
      <c r="F328" s="199">
        <v>721306</v>
      </c>
      <c r="G328" s="199" t="s">
        <v>63</v>
      </c>
      <c r="H328" s="349" t="s">
        <v>2397</v>
      </c>
      <c r="I328" s="200">
        <v>1</v>
      </c>
      <c r="J328" s="198" t="s">
        <v>1465</v>
      </c>
      <c r="K328" s="221" t="s">
        <v>105</v>
      </c>
      <c r="L328" s="22"/>
      <c r="M328" s="9"/>
      <c r="N328" s="9"/>
      <c r="O328" s="9"/>
      <c r="P328" s="9"/>
      <c r="Q328" s="9"/>
    </row>
    <row r="329" spans="2:17" customFormat="1" hidden="1">
      <c r="B329" s="120" t="s">
        <v>958</v>
      </c>
      <c r="C329" s="221" t="s">
        <v>1486</v>
      </c>
      <c r="D329" s="219" t="s">
        <v>256</v>
      </c>
      <c r="E329" s="198" t="s">
        <v>37</v>
      </c>
      <c r="F329" s="199">
        <v>751201</v>
      </c>
      <c r="G329" s="199" t="s">
        <v>183</v>
      </c>
      <c r="H329" s="120" t="s">
        <v>2394</v>
      </c>
      <c r="I329" s="200">
        <v>4</v>
      </c>
      <c r="J329" s="198" t="s">
        <v>1465</v>
      </c>
      <c r="K329" s="221" t="s">
        <v>105</v>
      </c>
      <c r="L329" s="22"/>
      <c r="M329" s="9"/>
      <c r="N329" s="9"/>
      <c r="O329" s="9"/>
      <c r="P329" s="9"/>
      <c r="Q329" s="9"/>
    </row>
    <row r="330" spans="2:17" customFormat="1" hidden="1">
      <c r="B330" s="120" t="s">
        <v>959</v>
      </c>
      <c r="C330" s="221" t="s">
        <v>1486</v>
      </c>
      <c r="D330" s="219" t="s">
        <v>256</v>
      </c>
      <c r="E330" s="136" t="s">
        <v>87</v>
      </c>
      <c r="F330" s="199">
        <v>741103</v>
      </c>
      <c r="G330" s="199" t="s">
        <v>54</v>
      </c>
      <c r="H330" s="120" t="s">
        <v>1345</v>
      </c>
      <c r="I330" s="200">
        <v>2</v>
      </c>
      <c r="J330" s="198" t="s">
        <v>1465</v>
      </c>
      <c r="K330" s="221" t="s">
        <v>105</v>
      </c>
      <c r="L330" s="22"/>
      <c r="M330" s="9"/>
      <c r="N330" s="9"/>
      <c r="O330" s="9"/>
      <c r="P330" s="9"/>
      <c r="Q330" s="9"/>
    </row>
    <row r="331" spans="2:17" customFormat="1" hidden="1">
      <c r="B331" s="120" t="s">
        <v>960</v>
      </c>
      <c r="C331" s="221" t="s">
        <v>1486</v>
      </c>
      <c r="D331" s="219" t="s">
        <v>256</v>
      </c>
      <c r="E331" s="198" t="s">
        <v>78</v>
      </c>
      <c r="F331" s="199">
        <v>741203</v>
      </c>
      <c r="G331" s="199" t="s">
        <v>64</v>
      </c>
      <c r="H331" s="349" t="s">
        <v>2396</v>
      </c>
      <c r="I331" s="200">
        <v>2</v>
      </c>
      <c r="J331" s="198" t="s">
        <v>1465</v>
      </c>
      <c r="K331" s="221" t="s">
        <v>105</v>
      </c>
      <c r="L331" s="22"/>
      <c r="M331" s="9"/>
      <c r="N331" s="9"/>
      <c r="O331" s="9"/>
      <c r="P331" s="9"/>
      <c r="Q331" s="9"/>
    </row>
    <row r="332" spans="2:17" customFormat="1" hidden="1">
      <c r="B332" s="120" t="s">
        <v>961</v>
      </c>
      <c r="C332" s="221" t="s">
        <v>1486</v>
      </c>
      <c r="D332" s="219" t="s">
        <v>256</v>
      </c>
      <c r="E332" s="198" t="s">
        <v>36</v>
      </c>
      <c r="F332" s="199">
        <v>514101</v>
      </c>
      <c r="G332" s="199" t="s">
        <v>77</v>
      </c>
      <c r="H332" s="120" t="s">
        <v>2396</v>
      </c>
      <c r="I332" s="200">
        <v>34</v>
      </c>
      <c r="J332" s="198" t="s">
        <v>1465</v>
      </c>
      <c r="K332" s="221" t="s">
        <v>105</v>
      </c>
      <c r="L332" s="22"/>
      <c r="M332" s="9"/>
      <c r="N332" s="9"/>
      <c r="O332" s="9"/>
      <c r="P332" s="9"/>
      <c r="Q332" s="9"/>
    </row>
    <row r="333" spans="2:17" customFormat="1" hidden="1">
      <c r="B333" s="120" t="s">
        <v>962</v>
      </c>
      <c r="C333" s="221" t="s">
        <v>1486</v>
      </c>
      <c r="D333" s="219" t="s">
        <v>256</v>
      </c>
      <c r="E333" s="198" t="s">
        <v>44</v>
      </c>
      <c r="F333" s="199">
        <v>512001</v>
      </c>
      <c r="G333" s="199" t="s">
        <v>81</v>
      </c>
      <c r="H333" s="120" t="s">
        <v>1350</v>
      </c>
      <c r="I333" s="200">
        <v>7</v>
      </c>
      <c r="J333" s="198" t="s">
        <v>1465</v>
      </c>
      <c r="K333" s="221" t="s">
        <v>105</v>
      </c>
      <c r="L333" s="25"/>
      <c r="M333" s="9"/>
      <c r="N333" s="9"/>
      <c r="O333" s="9"/>
      <c r="P333" s="9"/>
      <c r="Q333" s="9"/>
    </row>
    <row r="334" spans="2:17" customFormat="1" hidden="1">
      <c r="B334" s="120" t="s">
        <v>963</v>
      </c>
      <c r="C334" s="221" t="s">
        <v>1486</v>
      </c>
      <c r="D334" s="219" t="s">
        <v>256</v>
      </c>
      <c r="E334" s="198" t="s">
        <v>34</v>
      </c>
      <c r="F334" s="199">
        <v>723103</v>
      </c>
      <c r="G334" s="199" t="s">
        <v>75</v>
      </c>
      <c r="H334" s="158" t="s">
        <v>1350</v>
      </c>
      <c r="I334" s="200">
        <v>7</v>
      </c>
      <c r="J334" s="198" t="s">
        <v>1465</v>
      </c>
      <c r="K334" s="221" t="s">
        <v>105</v>
      </c>
      <c r="L334" s="25"/>
      <c r="M334" s="9"/>
      <c r="N334" s="9"/>
      <c r="O334" s="9"/>
      <c r="P334" s="9"/>
      <c r="Q334" s="9"/>
    </row>
    <row r="335" spans="2:17" customFormat="1" hidden="1">
      <c r="B335" s="120" t="s">
        <v>964</v>
      </c>
      <c r="C335" s="221" t="s">
        <v>1486</v>
      </c>
      <c r="D335" s="219" t="s">
        <v>256</v>
      </c>
      <c r="E335" s="198" t="s">
        <v>198</v>
      </c>
      <c r="F335" s="199">
        <v>712618</v>
      </c>
      <c r="G335" s="199" t="s">
        <v>86</v>
      </c>
      <c r="H335" s="115" t="s">
        <v>1348</v>
      </c>
      <c r="I335" s="200">
        <v>1</v>
      </c>
      <c r="J335" s="198" t="s">
        <v>1465</v>
      </c>
      <c r="K335" s="221" t="s">
        <v>105</v>
      </c>
      <c r="L335" s="25"/>
      <c r="M335" s="9"/>
      <c r="N335" s="9"/>
      <c r="O335" s="9"/>
      <c r="P335" s="9"/>
      <c r="Q335" s="9"/>
    </row>
    <row r="336" spans="2:17" customFormat="1" hidden="1">
      <c r="B336" s="120" t="s">
        <v>965</v>
      </c>
      <c r="C336" s="221" t="s">
        <v>1486</v>
      </c>
      <c r="D336" s="219" t="s">
        <v>256</v>
      </c>
      <c r="E336" s="303" t="s">
        <v>57</v>
      </c>
      <c r="F336" s="199">
        <v>751204</v>
      </c>
      <c r="G336" s="199" t="s">
        <v>68</v>
      </c>
      <c r="H336" s="120" t="s">
        <v>2396</v>
      </c>
      <c r="I336" s="200">
        <v>4</v>
      </c>
      <c r="J336" s="198" t="s">
        <v>1465</v>
      </c>
      <c r="K336" s="221" t="s">
        <v>105</v>
      </c>
      <c r="L336" s="25"/>
      <c r="M336" s="9"/>
      <c r="N336" s="9"/>
      <c r="O336" s="9"/>
      <c r="P336" s="9"/>
      <c r="Q336" s="9"/>
    </row>
    <row r="337" spans="2:17" customFormat="1">
      <c r="B337" s="120" t="s">
        <v>966</v>
      </c>
      <c r="C337" s="221" t="s">
        <v>1486</v>
      </c>
      <c r="D337" s="219" t="s">
        <v>256</v>
      </c>
      <c r="E337" s="321" t="s">
        <v>45</v>
      </c>
      <c r="F337" s="199">
        <v>522301</v>
      </c>
      <c r="G337" s="199" t="s">
        <v>43</v>
      </c>
      <c r="H337" s="120" t="s">
        <v>1344</v>
      </c>
      <c r="I337" s="200">
        <v>4</v>
      </c>
      <c r="J337" s="198" t="s">
        <v>1465</v>
      </c>
      <c r="K337" s="221" t="s">
        <v>105</v>
      </c>
      <c r="L337" s="25"/>
      <c r="M337" s="9"/>
      <c r="N337" s="9"/>
      <c r="O337" s="9"/>
      <c r="P337" s="9"/>
      <c r="Q337" s="9"/>
    </row>
    <row r="338" spans="2:17" customFormat="1" hidden="1">
      <c r="B338" s="120" t="s">
        <v>967</v>
      </c>
      <c r="C338" s="221" t="s">
        <v>1486</v>
      </c>
      <c r="D338" s="219" t="s">
        <v>256</v>
      </c>
      <c r="E338" s="198" t="s">
        <v>33</v>
      </c>
      <c r="F338" s="199">
        <v>752205</v>
      </c>
      <c r="G338" s="199" t="s">
        <v>69</v>
      </c>
      <c r="H338" s="120" t="s">
        <v>1348</v>
      </c>
      <c r="I338" s="200">
        <v>1</v>
      </c>
      <c r="J338" s="198" t="s">
        <v>1465</v>
      </c>
      <c r="K338" s="221" t="s">
        <v>105</v>
      </c>
      <c r="L338" s="25"/>
      <c r="M338" s="9"/>
      <c r="N338" s="9"/>
      <c r="O338" s="9"/>
      <c r="P338" s="9"/>
      <c r="Q338" s="9"/>
    </row>
    <row r="339" spans="2:17" customFormat="1" hidden="1">
      <c r="B339" s="120" t="s">
        <v>968</v>
      </c>
      <c r="C339" s="122" t="s">
        <v>1487</v>
      </c>
      <c r="D339" s="8" t="s">
        <v>108</v>
      </c>
      <c r="E339" s="198" t="s">
        <v>85</v>
      </c>
      <c r="F339" s="199">
        <v>721306</v>
      </c>
      <c r="G339" s="199" t="s">
        <v>857</v>
      </c>
      <c r="H339" s="349" t="s">
        <v>2397</v>
      </c>
      <c r="I339" s="231">
        <v>3</v>
      </c>
      <c r="J339" s="198" t="s">
        <v>1465</v>
      </c>
      <c r="K339" s="221" t="s">
        <v>105</v>
      </c>
      <c r="L339" s="25"/>
      <c r="M339" s="9"/>
      <c r="N339" s="9"/>
      <c r="O339" s="9"/>
      <c r="P339" s="9"/>
      <c r="Q339" s="9"/>
    </row>
    <row r="340" spans="2:17" customFormat="1" hidden="1">
      <c r="B340" s="120" t="s">
        <v>969</v>
      </c>
      <c r="C340" s="221" t="s">
        <v>1487</v>
      </c>
      <c r="D340" s="219" t="s">
        <v>108</v>
      </c>
      <c r="E340" s="198" t="s">
        <v>37</v>
      </c>
      <c r="F340" s="199">
        <v>751201</v>
      </c>
      <c r="G340" s="199" t="s">
        <v>183</v>
      </c>
      <c r="H340" s="348" t="s">
        <v>2248</v>
      </c>
      <c r="I340" s="231">
        <v>2</v>
      </c>
      <c r="J340" s="172" t="s">
        <v>117</v>
      </c>
      <c r="K340" s="221" t="s">
        <v>943</v>
      </c>
      <c r="L340" s="25"/>
      <c r="M340" s="9"/>
      <c r="N340" s="9"/>
      <c r="O340" s="9"/>
      <c r="P340" s="9"/>
      <c r="Q340" s="9"/>
    </row>
    <row r="341" spans="2:17" customFormat="1" hidden="1">
      <c r="B341" s="120" t="s">
        <v>970</v>
      </c>
      <c r="C341" s="221" t="s">
        <v>1487</v>
      </c>
      <c r="D341" s="219" t="s">
        <v>108</v>
      </c>
      <c r="E341" s="209" t="s">
        <v>239</v>
      </c>
      <c r="F341" s="199">
        <v>741201</v>
      </c>
      <c r="G341" s="199" t="s">
        <v>182</v>
      </c>
      <c r="H341" s="120"/>
      <c r="I341" s="231">
        <v>3</v>
      </c>
      <c r="J341" s="172" t="s">
        <v>61</v>
      </c>
      <c r="K341" s="221" t="s">
        <v>851</v>
      </c>
      <c r="L341" s="36"/>
      <c r="M341" s="9"/>
      <c r="N341" s="9"/>
      <c r="O341" s="9"/>
      <c r="P341" s="9"/>
      <c r="Q341" s="9"/>
    </row>
    <row r="342" spans="2:17" customFormat="1" hidden="1">
      <c r="B342" s="120" t="s">
        <v>971</v>
      </c>
      <c r="C342" s="221" t="s">
        <v>1487</v>
      </c>
      <c r="D342" s="219" t="s">
        <v>108</v>
      </c>
      <c r="E342" s="130" t="s">
        <v>216</v>
      </c>
      <c r="F342" s="119">
        <v>742117</v>
      </c>
      <c r="G342" s="119" t="s">
        <v>221</v>
      </c>
      <c r="H342" s="155"/>
      <c r="I342" s="231">
        <v>3</v>
      </c>
      <c r="J342" s="172" t="s">
        <v>61</v>
      </c>
      <c r="K342" s="221" t="s">
        <v>851</v>
      </c>
      <c r="L342" s="36"/>
      <c r="M342" s="9"/>
      <c r="N342" s="9"/>
      <c r="O342" s="9"/>
      <c r="P342" s="9"/>
      <c r="Q342" s="9"/>
    </row>
    <row r="343" spans="2:17" customFormat="1" hidden="1">
      <c r="B343" s="120" t="s">
        <v>972</v>
      </c>
      <c r="C343" s="221" t="s">
        <v>1487</v>
      </c>
      <c r="D343" s="219" t="s">
        <v>108</v>
      </c>
      <c r="E343" s="136" t="s">
        <v>87</v>
      </c>
      <c r="F343" s="199">
        <v>741103</v>
      </c>
      <c r="G343" s="199" t="s">
        <v>54</v>
      </c>
      <c r="H343" s="348" t="s">
        <v>2338</v>
      </c>
      <c r="I343" s="231">
        <v>16</v>
      </c>
      <c r="J343" s="172" t="s">
        <v>117</v>
      </c>
      <c r="K343" s="221" t="s">
        <v>943</v>
      </c>
      <c r="L343" s="36"/>
      <c r="M343" s="9"/>
      <c r="N343" s="9"/>
      <c r="O343" s="9"/>
      <c r="P343" s="9"/>
      <c r="Q343" s="9"/>
    </row>
    <row r="344" spans="2:17" customFormat="1" hidden="1">
      <c r="B344" s="120" t="s">
        <v>973</v>
      </c>
      <c r="C344" s="221" t="s">
        <v>1487</v>
      </c>
      <c r="D344" s="219" t="s">
        <v>108</v>
      </c>
      <c r="E344" s="198" t="s">
        <v>36</v>
      </c>
      <c r="F344" s="199">
        <v>514101</v>
      </c>
      <c r="G344" s="199" t="s">
        <v>77</v>
      </c>
      <c r="H344" s="120" t="s">
        <v>2357</v>
      </c>
      <c r="I344" s="231">
        <v>6</v>
      </c>
      <c r="J344" s="172" t="s">
        <v>117</v>
      </c>
      <c r="K344" s="221" t="s">
        <v>943</v>
      </c>
      <c r="L344" s="22"/>
      <c r="M344" s="9"/>
      <c r="N344" s="9"/>
      <c r="O344" s="9"/>
      <c r="P344" s="9"/>
      <c r="Q344" s="9"/>
    </row>
    <row r="345" spans="2:17" customFormat="1" hidden="1">
      <c r="B345" s="120" t="s">
        <v>974</v>
      </c>
      <c r="C345" s="221" t="s">
        <v>1487</v>
      </c>
      <c r="D345" s="219" t="s">
        <v>108</v>
      </c>
      <c r="E345" s="198" t="s">
        <v>44</v>
      </c>
      <c r="F345" s="199">
        <v>512001</v>
      </c>
      <c r="G345" s="199" t="s">
        <v>81</v>
      </c>
      <c r="H345" s="295" t="s">
        <v>1427</v>
      </c>
      <c r="I345" s="231">
        <v>6</v>
      </c>
      <c r="J345" s="141" t="s">
        <v>109</v>
      </c>
      <c r="K345" s="221" t="s">
        <v>237</v>
      </c>
      <c r="L345" s="22"/>
      <c r="M345" s="9"/>
      <c r="N345" s="9"/>
      <c r="O345" s="9"/>
      <c r="P345" s="9"/>
      <c r="Q345" s="9"/>
    </row>
    <row r="346" spans="2:17" customFormat="1" hidden="1">
      <c r="B346" s="120" t="s">
        <v>975</v>
      </c>
      <c r="C346" s="221" t="s">
        <v>1487</v>
      </c>
      <c r="D346" s="219" t="s">
        <v>108</v>
      </c>
      <c r="E346" s="198" t="s">
        <v>1435</v>
      </c>
      <c r="F346" s="199">
        <v>713201</v>
      </c>
      <c r="G346" s="199" t="s">
        <v>66</v>
      </c>
      <c r="H346" s="349" t="s">
        <v>2396</v>
      </c>
      <c r="I346" s="231">
        <v>2</v>
      </c>
      <c r="J346" s="198" t="s">
        <v>1465</v>
      </c>
      <c r="K346" s="221" t="s">
        <v>105</v>
      </c>
      <c r="L346" s="22"/>
      <c r="M346" s="9"/>
      <c r="N346" s="9"/>
      <c r="O346" s="9"/>
      <c r="P346" s="9"/>
      <c r="Q346" s="9"/>
    </row>
    <row r="347" spans="2:17" customFormat="1" hidden="1">
      <c r="B347" s="120" t="s">
        <v>976</v>
      </c>
      <c r="C347" s="221" t="s">
        <v>1487</v>
      </c>
      <c r="D347" s="219" t="s">
        <v>108</v>
      </c>
      <c r="E347" s="198" t="s">
        <v>74</v>
      </c>
      <c r="F347" s="199">
        <v>723103</v>
      </c>
      <c r="G347" s="199" t="s">
        <v>75</v>
      </c>
      <c r="H347" s="295" t="s">
        <v>1420</v>
      </c>
      <c r="I347" s="231">
        <v>12</v>
      </c>
      <c r="J347" s="141" t="s">
        <v>109</v>
      </c>
      <c r="K347" s="221" t="s">
        <v>237</v>
      </c>
      <c r="L347" s="22"/>
      <c r="M347" s="9"/>
      <c r="N347" s="9"/>
      <c r="O347" s="9"/>
      <c r="P347" s="9"/>
      <c r="Q347" s="9"/>
    </row>
    <row r="348" spans="2:17" customFormat="1" hidden="1">
      <c r="B348" s="120" t="s">
        <v>977</v>
      </c>
      <c r="C348" s="221" t="s">
        <v>1487</v>
      </c>
      <c r="D348" s="219" t="s">
        <v>108</v>
      </c>
      <c r="E348" s="198" t="s">
        <v>1466</v>
      </c>
      <c r="F348" s="199">
        <v>843103</v>
      </c>
      <c r="G348" s="199" t="s">
        <v>186</v>
      </c>
      <c r="H348" s="158"/>
      <c r="I348" s="231">
        <v>2</v>
      </c>
      <c r="J348" s="172" t="s">
        <v>61</v>
      </c>
      <c r="K348" s="221" t="s">
        <v>851</v>
      </c>
      <c r="L348" s="22"/>
      <c r="M348" s="9"/>
      <c r="N348" s="9"/>
      <c r="O348" s="9"/>
      <c r="P348" s="9"/>
      <c r="Q348" s="9"/>
    </row>
    <row r="349" spans="2:17" customFormat="1" hidden="1">
      <c r="B349" s="120" t="s">
        <v>978</v>
      </c>
      <c r="C349" s="221" t="s">
        <v>1487</v>
      </c>
      <c r="D349" s="219" t="s">
        <v>108</v>
      </c>
      <c r="E349" s="303" t="s">
        <v>57</v>
      </c>
      <c r="F349" s="199">
        <v>751204</v>
      </c>
      <c r="G349" s="199" t="s">
        <v>68</v>
      </c>
      <c r="H349" s="120" t="s">
        <v>2396</v>
      </c>
      <c r="I349" s="231">
        <v>1</v>
      </c>
      <c r="J349" s="198" t="s">
        <v>1465</v>
      </c>
      <c r="K349" s="221" t="s">
        <v>105</v>
      </c>
      <c r="L349" s="22"/>
      <c r="M349" s="9"/>
      <c r="N349" s="9"/>
      <c r="O349" s="9"/>
      <c r="P349" s="9"/>
      <c r="Q349" s="9"/>
    </row>
    <row r="350" spans="2:17" customFormat="1">
      <c r="B350" s="120" t="s">
        <v>979</v>
      </c>
      <c r="C350" s="221" t="s">
        <v>1487</v>
      </c>
      <c r="D350" s="219" t="s">
        <v>108</v>
      </c>
      <c r="E350" s="321" t="s">
        <v>45</v>
      </c>
      <c r="F350" s="199">
        <v>522301</v>
      </c>
      <c r="G350" s="199" t="s">
        <v>43</v>
      </c>
      <c r="H350" s="295" t="s">
        <v>1421</v>
      </c>
      <c r="I350" s="231">
        <v>12</v>
      </c>
      <c r="J350" s="141" t="s">
        <v>109</v>
      </c>
      <c r="K350" s="221" t="s">
        <v>237</v>
      </c>
      <c r="L350" s="22"/>
      <c r="M350" s="9"/>
      <c r="N350" s="9"/>
      <c r="O350" s="9"/>
      <c r="P350" s="9"/>
      <c r="Q350" s="9"/>
    </row>
    <row r="351" spans="2:17" customFormat="1" hidden="1">
      <c r="B351" s="120" t="s">
        <v>980</v>
      </c>
      <c r="C351" s="221" t="s">
        <v>1487</v>
      </c>
      <c r="D351" s="219" t="s">
        <v>108</v>
      </c>
      <c r="E351" s="198" t="s">
        <v>33</v>
      </c>
      <c r="F351" s="199">
        <v>752205</v>
      </c>
      <c r="G351" s="199" t="s">
        <v>69</v>
      </c>
      <c r="H351" s="295" t="s">
        <v>1421</v>
      </c>
      <c r="I351" s="231">
        <v>3</v>
      </c>
      <c r="J351" s="141" t="s">
        <v>109</v>
      </c>
      <c r="K351" s="221" t="s">
        <v>237</v>
      </c>
      <c r="L351" s="22"/>
      <c r="M351" s="9"/>
      <c r="N351" s="9"/>
      <c r="O351" s="9"/>
      <c r="P351" s="9"/>
      <c r="Q351" s="9"/>
    </row>
    <row r="352" spans="2:17" customFormat="1" hidden="1">
      <c r="B352" s="120" t="s">
        <v>981</v>
      </c>
      <c r="C352" s="221" t="s">
        <v>1487</v>
      </c>
      <c r="D352" s="219" t="s">
        <v>108</v>
      </c>
      <c r="E352" s="198" t="s">
        <v>206</v>
      </c>
      <c r="F352" s="199">
        <v>722204</v>
      </c>
      <c r="G352" s="199" t="s">
        <v>185</v>
      </c>
      <c r="H352" s="295" t="s">
        <v>1427</v>
      </c>
      <c r="I352" s="231">
        <v>13</v>
      </c>
      <c r="J352" s="141" t="s">
        <v>109</v>
      </c>
      <c r="K352" s="221" t="s">
        <v>237</v>
      </c>
      <c r="L352" s="22"/>
      <c r="M352" s="9"/>
      <c r="N352" s="9"/>
      <c r="O352" s="9"/>
      <c r="P352" s="9"/>
      <c r="Q352" s="9"/>
    </row>
    <row r="353" spans="2:17" customFormat="1" hidden="1">
      <c r="B353" s="120" t="s">
        <v>982</v>
      </c>
      <c r="C353" s="221" t="s">
        <v>1487</v>
      </c>
      <c r="D353" s="219" t="s">
        <v>108</v>
      </c>
      <c r="E353" s="198" t="s">
        <v>247</v>
      </c>
      <c r="F353" s="199">
        <v>613003</v>
      </c>
      <c r="G353" s="199" t="s">
        <v>542</v>
      </c>
      <c r="H353" s="184"/>
      <c r="I353" s="231">
        <v>1</v>
      </c>
      <c r="J353" s="172" t="s">
        <v>61</v>
      </c>
      <c r="K353" s="221" t="s">
        <v>851</v>
      </c>
      <c r="L353" s="20"/>
      <c r="M353" s="9"/>
      <c r="N353" s="9"/>
      <c r="O353" s="9"/>
      <c r="P353" s="9"/>
      <c r="Q353" s="9"/>
    </row>
    <row r="354" spans="2:17" customFormat="1" hidden="1">
      <c r="B354" s="120" t="s">
        <v>983</v>
      </c>
      <c r="C354" s="221" t="s">
        <v>1487</v>
      </c>
      <c r="D354" s="219" t="s">
        <v>108</v>
      </c>
      <c r="E354" s="243" t="s">
        <v>533</v>
      </c>
      <c r="F354" s="199">
        <v>723310</v>
      </c>
      <c r="G354" s="199" t="s">
        <v>282</v>
      </c>
      <c r="H354" s="120" t="s">
        <v>1324</v>
      </c>
      <c r="I354" s="231">
        <v>1</v>
      </c>
      <c r="J354" s="141" t="s">
        <v>547</v>
      </c>
      <c r="K354" s="221" t="s">
        <v>41</v>
      </c>
      <c r="L354" s="20"/>
      <c r="M354" s="9"/>
      <c r="N354" s="9"/>
      <c r="O354" s="9"/>
      <c r="P354" s="9"/>
      <c r="Q354" s="9"/>
    </row>
    <row r="355" spans="2:17" customFormat="1" hidden="1">
      <c r="B355" s="120" t="s">
        <v>984</v>
      </c>
      <c r="C355" s="138" t="s">
        <v>2353</v>
      </c>
      <c r="D355" s="8" t="s">
        <v>140</v>
      </c>
      <c r="E355" s="198" t="s">
        <v>44</v>
      </c>
      <c r="F355" s="199">
        <v>512001</v>
      </c>
      <c r="G355" s="199" t="s">
        <v>81</v>
      </c>
      <c r="H355" s="348" t="s">
        <v>2338</v>
      </c>
      <c r="I355" s="137">
        <v>4</v>
      </c>
      <c r="J355" s="172" t="s">
        <v>117</v>
      </c>
      <c r="K355" s="221" t="s">
        <v>943</v>
      </c>
      <c r="L355" s="20"/>
      <c r="M355" s="9"/>
      <c r="N355" s="9"/>
      <c r="O355" s="9"/>
      <c r="P355" s="9"/>
      <c r="Q355" s="9"/>
    </row>
    <row r="356" spans="2:17" customFormat="1">
      <c r="B356" s="120" t="s">
        <v>985</v>
      </c>
      <c r="C356" s="138" t="s">
        <v>2353</v>
      </c>
      <c r="D356" s="219" t="s">
        <v>140</v>
      </c>
      <c r="E356" s="321" t="s">
        <v>45</v>
      </c>
      <c r="F356" s="57">
        <v>522301</v>
      </c>
      <c r="G356" s="57" t="s">
        <v>43</v>
      </c>
      <c r="H356" s="348" t="s">
        <v>2338</v>
      </c>
      <c r="I356" s="137">
        <v>4</v>
      </c>
      <c r="J356" s="172" t="s">
        <v>117</v>
      </c>
      <c r="K356" s="221" t="s">
        <v>943</v>
      </c>
      <c r="L356" s="22"/>
      <c r="M356" s="9"/>
      <c r="N356" s="9"/>
      <c r="O356" s="9"/>
      <c r="P356" s="9"/>
      <c r="Q356" s="9"/>
    </row>
    <row r="357" spans="2:17" customFormat="1" hidden="1">
      <c r="B357" s="120" t="s">
        <v>986</v>
      </c>
      <c r="C357" s="138" t="s">
        <v>2353</v>
      </c>
      <c r="D357" s="219" t="s">
        <v>140</v>
      </c>
      <c r="E357" s="198" t="s">
        <v>36</v>
      </c>
      <c r="F357" s="199">
        <v>514101</v>
      </c>
      <c r="G357" s="199" t="s">
        <v>77</v>
      </c>
      <c r="H357" s="120" t="s">
        <v>2357</v>
      </c>
      <c r="I357" s="137">
        <v>6</v>
      </c>
      <c r="J357" s="172" t="s">
        <v>117</v>
      </c>
      <c r="K357" s="221" t="s">
        <v>943</v>
      </c>
      <c r="L357" s="22"/>
      <c r="M357" s="9"/>
      <c r="N357" s="9"/>
      <c r="O357" s="9"/>
      <c r="P357" s="9"/>
      <c r="Q357" s="9"/>
    </row>
    <row r="358" spans="2:17" customFormat="1" hidden="1">
      <c r="B358" s="120" t="s">
        <v>987</v>
      </c>
      <c r="C358" s="138" t="s">
        <v>2353</v>
      </c>
      <c r="D358" s="219" t="s">
        <v>140</v>
      </c>
      <c r="E358" s="198" t="s">
        <v>39</v>
      </c>
      <c r="F358" s="199">
        <v>711204</v>
      </c>
      <c r="G358" s="199" t="s">
        <v>106</v>
      </c>
      <c r="H358" s="120" t="s">
        <v>2396</v>
      </c>
      <c r="I358" s="137">
        <v>1</v>
      </c>
      <c r="J358" s="198" t="s">
        <v>1465</v>
      </c>
      <c r="K358" s="221" t="s">
        <v>105</v>
      </c>
      <c r="L358" s="22"/>
      <c r="M358" s="9"/>
      <c r="N358" s="9"/>
      <c r="O358" s="9"/>
      <c r="P358" s="9"/>
      <c r="Q358" s="9"/>
    </row>
    <row r="359" spans="2:17" customFormat="1" hidden="1">
      <c r="B359" s="120" t="s">
        <v>988</v>
      </c>
      <c r="C359" s="138" t="s">
        <v>2353</v>
      </c>
      <c r="D359" s="219" t="s">
        <v>140</v>
      </c>
      <c r="E359" s="198" t="s">
        <v>78</v>
      </c>
      <c r="F359" s="199">
        <v>741203</v>
      </c>
      <c r="G359" s="199" t="s">
        <v>64</v>
      </c>
      <c r="H359" s="349" t="s">
        <v>2396</v>
      </c>
      <c r="I359" s="137">
        <v>1</v>
      </c>
      <c r="J359" s="198" t="s">
        <v>1465</v>
      </c>
      <c r="K359" s="221" t="s">
        <v>105</v>
      </c>
      <c r="L359" s="22"/>
      <c r="M359" s="9"/>
      <c r="N359" s="9"/>
      <c r="O359" s="9"/>
      <c r="P359" s="9"/>
      <c r="Q359" s="9"/>
    </row>
    <row r="360" spans="2:17" customFormat="1" hidden="1">
      <c r="B360" s="120" t="s">
        <v>989</v>
      </c>
      <c r="C360" s="138" t="s">
        <v>2353</v>
      </c>
      <c r="D360" s="219" t="s">
        <v>140</v>
      </c>
      <c r="E360" s="136" t="s">
        <v>87</v>
      </c>
      <c r="F360" s="199">
        <v>741103</v>
      </c>
      <c r="G360" s="199" t="s">
        <v>54</v>
      </c>
      <c r="H360" s="120" t="s">
        <v>1350</v>
      </c>
      <c r="I360" s="317">
        <v>0</v>
      </c>
      <c r="J360" s="198" t="s">
        <v>1465</v>
      </c>
      <c r="K360" s="221" t="s">
        <v>105</v>
      </c>
      <c r="L360" s="22"/>
      <c r="M360" s="9"/>
      <c r="N360" s="9"/>
      <c r="O360" s="9"/>
      <c r="P360" s="9"/>
      <c r="Q360" s="9"/>
    </row>
    <row r="361" spans="2:17" customFormat="1" hidden="1">
      <c r="B361" s="120" t="s">
        <v>990</v>
      </c>
      <c r="C361" s="138" t="s">
        <v>2353</v>
      </c>
      <c r="D361" s="219" t="s">
        <v>140</v>
      </c>
      <c r="E361" s="198" t="s">
        <v>1435</v>
      </c>
      <c r="F361" s="199">
        <v>713203</v>
      </c>
      <c r="G361" s="199" t="s">
        <v>66</v>
      </c>
      <c r="H361" s="349" t="s">
        <v>2396</v>
      </c>
      <c r="I361" s="137">
        <v>2</v>
      </c>
      <c r="J361" s="198" t="s">
        <v>1465</v>
      </c>
      <c r="K361" s="221" t="s">
        <v>105</v>
      </c>
      <c r="L361" s="20"/>
      <c r="M361" s="9"/>
      <c r="N361" s="9"/>
      <c r="O361" s="9"/>
      <c r="P361" s="9"/>
      <c r="Q361" s="9"/>
    </row>
    <row r="362" spans="2:17" customFormat="1" hidden="1">
      <c r="B362" s="120" t="s">
        <v>991</v>
      </c>
      <c r="C362" s="138" t="s">
        <v>2353</v>
      </c>
      <c r="D362" s="219" t="s">
        <v>140</v>
      </c>
      <c r="E362" s="198" t="s">
        <v>74</v>
      </c>
      <c r="F362" s="199">
        <v>723103</v>
      </c>
      <c r="G362" s="199" t="s">
        <v>75</v>
      </c>
      <c r="H362" s="158" t="s">
        <v>1350</v>
      </c>
      <c r="I362" s="137">
        <v>9</v>
      </c>
      <c r="J362" s="198" t="s">
        <v>1465</v>
      </c>
      <c r="K362" s="221" t="s">
        <v>105</v>
      </c>
      <c r="L362" s="22"/>
      <c r="M362" s="9"/>
      <c r="N362" s="9"/>
      <c r="O362" s="9"/>
      <c r="P362" s="9"/>
      <c r="Q362" s="9"/>
    </row>
    <row r="363" spans="2:17" customFormat="1" hidden="1">
      <c r="B363" s="120" t="s">
        <v>992</v>
      </c>
      <c r="C363" s="138" t="s">
        <v>2353</v>
      </c>
      <c r="D363" s="219" t="s">
        <v>140</v>
      </c>
      <c r="E363" s="198" t="s">
        <v>198</v>
      </c>
      <c r="F363" s="199">
        <v>712618</v>
      </c>
      <c r="G363" s="199" t="s">
        <v>86</v>
      </c>
      <c r="H363" s="115" t="s">
        <v>1348</v>
      </c>
      <c r="I363" s="137">
        <v>1</v>
      </c>
      <c r="J363" s="198" t="s">
        <v>1465</v>
      </c>
      <c r="K363" s="221" t="s">
        <v>105</v>
      </c>
      <c r="L363" s="22"/>
      <c r="M363" s="9"/>
      <c r="N363" s="9"/>
      <c r="O363" s="9"/>
      <c r="P363" s="9"/>
      <c r="Q363" s="9"/>
    </row>
    <row r="364" spans="2:17" customFormat="1" hidden="1">
      <c r="B364" s="120" t="s">
        <v>993</v>
      </c>
      <c r="C364" s="138" t="s">
        <v>2353</v>
      </c>
      <c r="D364" s="219" t="s">
        <v>140</v>
      </c>
      <c r="E364" s="198" t="s">
        <v>103</v>
      </c>
      <c r="F364" s="120">
        <v>722307</v>
      </c>
      <c r="G364" s="120" t="s">
        <v>83</v>
      </c>
      <c r="H364" s="348" t="s">
        <v>1350</v>
      </c>
      <c r="I364" s="137">
        <v>1</v>
      </c>
      <c r="J364" s="198" t="s">
        <v>1465</v>
      </c>
      <c r="K364" s="221" t="s">
        <v>105</v>
      </c>
      <c r="L364" s="22"/>
      <c r="M364" s="9"/>
      <c r="N364" s="9"/>
      <c r="O364" s="9"/>
      <c r="P364" s="9"/>
      <c r="Q364" s="9"/>
    </row>
    <row r="365" spans="2:17" customFormat="1" hidden="1">
      <c r="B365" s="120" t="s">
        <v>994</v>
      </c>
      <c r="C365" s="138" t="s">
        <v>2353</v>
      </c>
      <c r="D365" s="219" t="s">
        <v>140</v>
      </c>
      <c r="E365" s="198" t="s">
        <v>33</v>
      </c>
      <c r="F365" s="199">
        <v>752205</v>
      </c>
      <c r="G365" s="199" t="s">
        <v>69</v>
      </c>
      <c r="H365" s="120" t="s">
        <v>1348</v>
      </c>
      <c r="I365" s="137">
        <v>3</v>
      </c>
      <c r="J365" s="198" t="s">
        <v>1465</v>
      </c>
      <c r="K365" s="221" t="s">
        <v>105</v>
      </c>
      <c r="L365" s="22"/>
      <c r="M365" s="9"/>
      <c r="N365" s="9"/>
      <c r="O365" s="9"/>
      <c r="P365" s="9"/>
      <c r="Q365" s="9"/>
    </row>
    <row r="366" spans="2:17" customFormat="1" hidden="1">
      <c r="B366" s="120" t="s">
        <v>995</v>
      </c>
      <c r="C366" s="138" t="s">
        <v>2353</v>
      </c>
      <c r="D366" s="219" t="s">
        <v>140</v>
      </c>
      <c r="E366" s="198" t="s">
        <v>206</v>
      </c>
      <c r="F366" s="199">
        <v>722204</v>
      </c>
      <c r="G366" s="199" t="s">
        <v>185</v>
      </c>
      <c r="H366" s="348" t="s">
        <v>1350</v>
      </c>
      <c r="I366" s="137">
        <v>2</v>
      </c>
      <c r="J366" s="198" t="s">
        <v>1465</v>
      </c>
      <c r="K366" s="221" t="s">
        <v>105</v>
      </c>
      <c r="L366" s="22"/>
      <c r="M366" s="9"/>
      <c r="N366" s="9"/>
      <c r="O366" s="9"/>
      <c r="P366" s="9"/>
      <c r="Q366" s="9"/>
    </row>
    <row r="367" spans="2:17" customFormat="1" hidden="1">
      <c r="B367" s="120" t="s">
        <v>996</v>
      </c>
      <c r="C367" s="138" t="s">
        <v>2353</v>
      </c>
      <c r="D367" s="219" t="s">
        <v>140</v>
      </c>
      <c r="E367" s="209" t="s">
        <v>239</v>
      </c>
      <c r="F367" s="199">
        <v>741201</v>
      </c>
      <c r="G367" s="199" t="s">
        <v>182</v>
      </c>
      <c r="H367" s="120"/>
      <c r="I367" s="137">
        <v>1</v>
      </c>
      <c r="J367" s="172" t="s">
        <v>1488</v>
      </c>
      <c r="K367" s="242" t="s">
        <v>851</v>
      </c>
      <c r="L367" s="22"/>
      <c r="M367" s="9"/>
      <c r="N367" s="9"/>
      <c r="O367" s="9"/>
      <c r="P367" s="9"/>
      <c r="Q367" s="9"/>
    </row>
    <row r="368" spans="2:17" customFormat="1" hidden="1">
      <c r="B368" s="120" t="s">
        <v>997</v>
      </c>
      <c r="C368" s="122" t="s">
        <v>1489</v>
      </c>
      <c r="D368" s="8" t="s">
        <v>251</v>
      </c>
      <c r="E368" s="221"/>
      <c r="F368" s="120"/>
      <c r="G368" s="201"/>
      <c r="H368" s="120"/>
      <c r="I368" s="317">
        <v>0</v>
      </c>
      <c r="J368" s="172"/>
      <c r="K368" s="122"/>
      <c r="L368" s="22"/>
      <c r="M368" s="9"/>
      <c r="N368" s="9"/>
      <c r="O368" s="9"/>
      <c r="P368" s="9"/>
      <c r="Q368" s="9"/>
    </row>
    <row r="369" spans="2:17" customFormat="1" hidden="1">
      <c r="B369" s="120" t="s">
        <v>998</v>
      </c>
      <c r="C369" s="221" t="s">
        <v>1490</v>
      </c>
      <c r="D369" s="8" t="s">
        <v>1491</v>
      </c>
      <c r="E369" s="198" t="s">
        <v>1492</v>
      </c>
      <c r="F369" s="199">
        <v>722224</v>
      </c>
      <c r="G369" s="70" t="s">
        <v>185</v>
      </c>
      <c r="H369" s="348" t="s">
        <v>1350</v>
      </c>
      <c r="I369" s="200">
        <v>8</v>
      </c>
      <c r="J369" s="198" t="s">
        <v>1465</v>
      </c>
      <c r="K369" s="221" t="s">
        <v>105</v>
      </c>
      <c r="L369" s="22"/>
      <c r="M369" s="9"/>
      <c r="N369" s="9"/>
      <c r="O369" s="9"/>
      <c r="P369" s="9"/>
      <c r="Q369" s="9"/>
    </row>
    <row r="370" spans="2:17" customFormat="1" hidden="1">
      <c r="B370" s="120" t="s">
        <v>999</v>
      </c>
      <c r="C370" s="221" t="s">
        <v>1490</v>
      </c>
      <c r="D370" s="219" t="s">
        <v>1491</v>
      </c>
      <c r="E370" s="221" t="s">
        <v>1442</v>
      </c>
      <c r="F370" s="199">
        <v>723103</v>
      </c>
      <c r="G370" s="199" t="s">
        <v>75</v>
      </c>
      <c r="H370" s="120" t="s">
        <v>2252</v>
      </c>
      <c r="I370" s="200">
        <v>7</v>
      </c>
      <c r="J370" s="172" t="s">
        <v>1174</v>
      </c>
      <c r="K370" s="221" t="s">
        <v>849</v>
      </c>
      <c r="L370" s="22"/>
      <c r="M370" s="9"/>
      <c r="N370" s="9"/>
      <c r="O370" s="9"/>
      <c r="P370" s="9"/>
      <c r="Q370" s="9"/>
    </row>
    <row r="371" spans="2:17" customFormat="1" hidden="1">
      <c r="B371" s="120" t="s">
        <v>1000</v>
      </c>
      <c r="C371" s="221" t="s">
        <v>1490</v>
      </c>
      <c r="D371" s="219" t="s">
        <v>1491</v>
      </c>
      <c r="E371" s="198" t="s">
        <v>80</v>
      </c>
      <c r="F371" s="199">
        <v>512001</v>
      </c>
      <c r="G371" s="199" t="s">
        <v>81</v>
      </c>
      <c r="H371" s="120" t="s">
        <v>1421</v>
      </c>
      <c r="I371" s="200">
        <v>6</v>
      </c>
      <c r="J371" s="172" t="s">
        <v>1174</v>
      </c>
      <c r="K371" s="221" t="s">
        <v>849</v>
      </c>
      <c r="L371" s="22"/>
      <c r="M371" s="9"/>
      <c r="N371" s="9"/>
      <c r="O371" s="9"/>
      <c r="P371" s="9"/>
      <c r="Q371" s="9"/>
    </row>
    <row r="372" spans="2:17" customFormat="1">
      <c r="B372" s="120" t="s">
        <v>1001</v>
      </c>
      <c r="C372" s="221" t="s">
        <v>1490</v>
      </c>
      <c r="D372" s="219" t="s">
        <v>1491</v>
      </c>
      <c r="E372" s="321" t="s">
        <v>45</v>
      </c>
      <c r="F372" s="199">
        <v>522301</v>
      </c>
      <c r="G372" s="199" t="s">
        <v>43</v>
      </c>
      <c r="H372" s="120" t="s">
        <v>1421</v>
      </c>
      <c r="I372" s="200">
        <v>3</v>
      </c>
      <c r="J372" s="172" t="s">
        <v>1174</v>
      </c>
      <c r="K372" s="221" t="s">
        <v>849</v>
      </c>
      <c r="L372" s="25"/>
      <c r="M372" s="9"/>
      <c r="N372" s="9"/>
      <c r="O372" s="9"/>
      <c r="P372" s="9"/>
      <c r="Q372" s="9"/>
    </row>
    <row r="373" spans="2:17" customFormat="1" hidden="1">
      <c r="B373" s="120" t="s">
        <v>1002</v>
      </c>
      <c r="C373" s="221" t="s">
        <v>1490</v>
      </c>
      <c r="D373" s="219" t="s">
        <v>1491</v>
      </c>
      <c r="E373" s="198" t="s">
        <v>114</v>
      </c>
      <c r="F373" s="199">
        <v>514101</v>
      </c>
      <c r="G373" s="199" t="s">
        <v>77</v>
      </c>
      <c r="H373" s="120" t="s">
        <v>1420</v>
      </c>
      <c r="I373" s="200">
        <v>3</v>
      </c>
      <c r="J373" s="172" t="s">
        <v>1174</v>
      </c>
      <c r="K373" s="221" t="s">
        <v>849</v>
      </c>
      <c r="L373" s="25"/>
      <c r="M373" s="9"/>
      <c r="N373" s="9"/>
      <c r="O373" s="9"/>
      <c r="P373" s="9"/>
      <c r="Q373" s="9"/>
    </row>
    <row r="374" spans="2:17" customFormat="1" hidden="1">
      <c r="B374" s="120" t="s">
        <v>1003</v>
      </c>
      <c r="C374" s="221" t="s">
        <v>1490</v>
      </c>
      <c r="D374" s="219" t="s">
        <v>1491</v>
      </c>
      <c r="E374" s="198" t="s">
        <v>1435</v>
      </c>
      <c r="F374" s="199">
        <v>713203</v>
      </c>
      <c r="G374" s="199" t="s">
        <v>66</v>
      </c>
      <c r="H374" s="349" t="s">
        <v>2396</v>
      </c>
      <c r="I374" s="200">
        <v>1</v>
      </c>
      <c r="J374" s="198" t="s">
        <v>1465</v>
      </c>
      <c r="K374" s="221" t="s">
        <v>105</v>
      </c>
      <c r="L374" s="25"/>
      <c r="M374" s="9"/>
      <c r="N374" s="9"/>
      <c r="O374" s="9"/>
      <c r="P374" s="9"/>
      <c r="Q374" s="9"/>
    </row>
    <row r="375" spans="2:17" customFormat="1" hidden="1">
      <c r="B375" s="120" t="s">
        <v>1004</v>
      </c>
      <c r="C375" s="221" t="s">
        <v>1490</v>
      </c>
      <c r="D375" s="219" t="s">
        <v>1491</v>
      </c>
      <c r="E375" s="136" t="s">
        <v>87</v>
      </c>
      <c r="F375" s="199">
        <v>741103</v>
      </c>
      <c r="G375" s="199" t="s">
        <v>54</v>
      </c>
      <c r="H375" s="120" t="s">
        <v>1345</v>
      </c>
      <c r="I375" s="200">
        <v>3</v>
      </c>
      <c r="J375" s="198" t="s">
        <v>1465</v>
      </c>
      <c r="K375" s="221" t="s">
        <v>105</v>
      </c>
      <c r="L375" s="25"/>
      <c r="M375" s="9"/>
      <c r="N375" s="9"/>
      <c r="O375" s="9"/>
      <c r="P375" s="9"/>
      <c r="Q375" s="9"/>
    </row>
    <row r="376" spans="2:17" customFormat="1" hidden="1">
      <c r="B376" s="120" t="s">
        <v>1005</v>
      </c>
      <c r="C376" s="221" t="s">
        <v>1490</v>
      </c>
      <c r="D376" s="219" t="s">
        <v>1491</v>
      </c>
      <c r="E376" s="198" t="s">
        <v>39</v>
      </c>
      <c r="F376" s="199">
        <v>711204</v>
      </c>
      <c r="G376" s="199" t="s">
        <v>106</v>
      </c>
      <c r="H376" s="120" t="s">
        <v>2396</v>
      </c>
      <c r="I376" s="200">
        <v>1</v>
      </c>
      <c r="J376" s="198" t="s">
        <v>1465</v>
      </c>
      <c r="K376" s="221" t="s">
        <v>105</v>
      </c>
      <c r="L376" s="25"/>
      <c r="M376" s="9"/>
      <c r="N376" s="9"/>
      <c r="O376" s="9"/>
      <c r="P376" s="9"/>
      <c r="Q376" s="9"/>
    </row>
    <row r="377" spans="2:17" customFormat="1" hidden="1">
      <c r="B377" s="120" t="s">
        <v>1006</v>
      </c>
      <c r="C377" s="221" t="s">
        <v>1493</v>
      </c>
      <c r="D377" s="8" t="s">
        <v>277</v>
      </c>
      <c r="E377" s="325" t="s">
        <v>278</v>
      </c>
      <c r="F377" s="225">
        <v>751201</v>
      </c>
      <c r="G377" s="225" t="s">
        <v>183</v>
      </c>
      <c r="H377" s="120" t="s">
        <v>1327</v>
      </c>
      <c r="I377" s="235">
        <v>4</v>
      </c>
      <c r="J377" s="141" t="s">
        <v>547</v>
      </c>
      <c r="K377" s="242" t="s">
        <v>41</v>
      </c>
      <c r="L377" s="25"/>
      <c r="M377" s="9"/>
      <c r="N377" s="9"/>
      <c r="O377" s="9"/>
      <c r="P377" s="9"/>
      <c r="Q377" s="9"/>
    </row>
    <row r="378" spans="2:17" customFormat="1" hidden="1">
      <c r="B378" s="120" t="s">
        <v>1007</v>
      </c>
      <c r="C378" s="221" t="s">
        <v>1493</v>
      </c>
      <c r="D378" s="219" t="s">
        <v>277</v>
      </c>
      <c r="E378" s="136" t="s">
        <v>87</v>
      </c>
      <c r="F378" s="225">
        <v>741103</v>
      </c>
      <c r="G378" s="225" t="s">
        <v>54</v>
      </c>
      <c r="H378" s="120" t="s">
        <v>1345</v>
      </c>
      <c r="I378" s="372">
        <v>11</v>
      </c>
      <c r="J378" s="198" t="s">
        <v>1465</v>
      </c>
      <c r="K378" s="221" t="s">
        <v>105</v>
      </c>
      <c r="L378" s="25"/>
      <c r="M378" s="9"/>
      <c r="N378" s="9"/>
      <c r="O378" s="9"/>
      <c r="P378" s="9"/>
      <c r="Q378" s="9"/>
    </row>
    <row r="379" spans="2:17" customFormat="1" hidden="1">
      <c r="B379" s="120" t="s">
        <v>1008</v>
      </c>
      <c r="C379" s="221" t="s">
        <v>1493</v>
      </c>
      <c r="D379" s="219" t="s">
        <v>277</v>
      </c>
      <c r="E379" s="198" t="s">
        <v>78</v>
      </c>
      <c r="F379" s="225">
        <v>741203</v>
      </c>
      <c r="G379" s="225" t="s">
        <v>64</v>
      </c>
      <c r="H379" s="349" t="s">
        <v>2396</v>
      </c>
      <c r="I379" s="235">
        <v>2</v>
      </c>
      <c r="J379" s="198" t="s">
        <v>1465</v>
      </c>
      <c r="K379" s="221" t="s">
        <v>105</v>
      </c>
      <c r="L379" s="25"/>
      <c r="M379" s="9"/>
      <c r="N379" s="9"/>
      <c r="O379" s="9"/>
      <c r="P379" s="9"/>
      <c r="Q379" s="9"/>
    </row>
    <row r="380" spans="2:17" customFormat="1" hidden="1">
      <c r="B380" s="120" t="s">
        <v>1009</v>
      </c>
      <c r="C380" s="221" t="s">
        <v>1493</v>
      </c>
      <c r="D380" s="219" t="s">
        <v>277</v>
      </c>
      <c r="E380" s="325" t="s">
        <v>1494</v>
      </c>
      <c r="F380" s="225">
        <v>512001</v>
      </c>
      <c r="G380" s="225" t="s">
        <v>81</v>
      </c>
      <c r="H380" s="120" t="s">
        <v>2260</v>
      </c>
      <c r="I380" s="372">
        <v>19</v>
      </c>
      <c r="J380" s="7" t="s">
        <v>228</v>
      </c>
      <c r="K380" s="221" t="s">
        <v>104</v>
      </c>
      <c r="L380" s="25"/>
      <c r="M380" s="9"/>
      <c r="N380" s="9"/>
      <c r="O380" s="9"/>
      <c r="P380" s="9"/>
      <c r="Q380" s="9"/>
    </row>
    <row r="381" spans="2:17" customFormat="1" hidden="1">
      <c r="B381" s="120" t="s">
        <v>1010</v>
      </c>
      <c r="C381" s="221" t="s">
        <v>1493</v>
      </c>
      <c r="D381" s="219" t="s">
        <v>277</v>
      </c>
      <c r="E381" s="198" t="s">
        <v>1435</v>
      </c>
      <c r="F381" s="225">
        <v>713209</v>
      </c>
      <c r="G381" s="225" t="s">
        <v>66</v>
      </c>
      <c r="H381" s="349" t="s">
        <v>2396</v>
      </c>
      <c r="I381" s="235">
        <v>2</v>
      </c>
      <c r="J381" s="198" t="s">
        <v>1465</v>
      </c>
      <c r="K381" s="242" t="s">
        <v>105</v>
      </c>
      <c r="L381" s="25"/>
      <c r="M381" s="9"/>
      <c r="N381" s="9"/>
      <c r="O381" s="15"/>
      <c r="P381" s="9"/>
      <c r="Q381" s="9"/>
    </row>
    <row r="382" spans="2:17" customFormat="1" hidden="1">
      <c r="B382" s="120" t="s">
        <v>1011</v>
      </c>
      <c r="C382" s="221" t="s">
        <v>1493</v>
      </c>
      <c r="D382" s="219" t="s">
        <v>277</v>
      </c>
      <c r="E382" s="324" t="s">
        <v>1495</v>
      </c>
      <c r="F382" s="225">
        <v>432106</v>
      </c>
      <c r="G382" s="225" t="s">
        <v>281</v>
      </c>
      <c r="H382" s="120"/>
      <c r="I382" s="318">
        <v>0</v>
      </c>
      <c r="J382" s="141" t="s">
        <v>547</v>
      </c>
      <c r="K382" s="221" t="s">
        <v>41</v>
      </c>
      <c r="L382" s="25"/>
      <c r="M382" s="9"/>
      <c r="N382" s="9"/>
      <c r="O382" s="9"/>
      <c r="P382" s="9"/>
      <c r="Q382" s="9"/>
    </row>
    <row r="383" spans="2:17" customFormat="1" hidden="1">
      <c r="B383" s="120" t="s">
        <v>1012</v>
      </c>
      <c r="C383" s="221" t="s">
        <v>1493</v>
      </c>
      <c r="D383" s="219" t="s">
        <v>277</v>
      </c>
      <c r="E383" s="243" t="s">
        <v>56</v>
      </c>
      <c r="F383" s="225">
        <v>712905</v>
      </c>
      <c r="G383" s="225" t="s">
        <v>67</v>
      </c>
      <c r="H383" s="158" t="s">
        <v>1320</v>
      </c>
      <c r="I383" s="235">
        <v>7</v>
      </c>
      <c r="J383" s="141" t="s">
        <v>547</v>
      </c>
      <c r="K383" s="221" t="s">
        <v>41</v>
      </c>
      <c r="L383" s="25"/>
      <c r="M383" s="9"/>
      <c r="N383" s="9"/>
      <c r="O383" s="9"/>
      <c r="P383" s="9"/>
      <c r="Q383" s="9"/>
    </row>
    <row r="384" spans="2:17" customFormat="1" hidden="1">
      <c r="B384" s="120" t="s">
        <v>1013</v>
      </c>
      <c r="C384" s="221" t="s">
        <v>1493</v>
      </c>
      <c r="D384" s="219" t="s">
        <v>277</v>
      </c>
      <c r="E384" s="303" t="s">
        <v>57</v>
      </c>
      <c r="F384" s="225">
        <v>751204</v>
      </c>
      <c r="G384" s="225" t="s">
        <v>68</v>
      </c>
      <c r="H384" s="120" t="s">
        <v>1350</v>
      </c>
      <c r="I384" s="235">
        <v>4</v>
      </c>
      <c r="J384" s="198" t="s">
        <v>1465</v>
      </c>
      <c r="K384" s="221" t="s">
        <v>105</v>
      </c>
      <c r="L384" s="25"/>
      <c r="M384" s="9"/>
      <c r="N384" s="9"/>
      <c r="O384" s="9"/>
      <c r="P384" s="9"/>
      <c r="Q384" s="9"/>
    </row>
    <row r="385" spans="2:17" customFormat="1">
      <c r="B385" s="120" t="s">
        <v>1014</v>
      </c>
      <c r="C385" s="221" t="s">
        <v>1493</v>
      </c>
      <c r="D385" s="219" t="s">
        <v>277</v>
      </c>
      <c r="E385" s="321" t="s">
        <v>45</v>
      </c>
      <c r="F385" s="225">
        <v>522301</v>
      </c>
      <c r="G385" s="225" t="s">
        <v>43</v>
      </c>
      <c r="H385" s="120" t="s">
        <v>1413</v>
      </c>
      <c r="I385" s="372">
        <v>10</v>
      </c>
      <c r="J385" s="7" t="s">
        <v>228</v>
      </c>
      <c r="K385" s="221" t="s">
        <v>104</v>
      </c>
      <c r="L385" s="25"/>
      <c r="M385" s="9"/>
      <c r="N385" s="9"/>
      <c r="O385" s="9"/>
      <c r="P385" s="9"/>
      <c r="Q385" s="9"/>
    </row>
    <row r="386" spans="2:17" customFormat="1" hidden="1">
      <c r="B386" s="120" t="s">
        <v>1015</v>
      </c>
      <c r="C386" s="221" t="s">
        <v>1493</v>
      </c>
      <c r="D386" s="219" t="s">
        <v>277</v>
      </c>
      <c r="E386" s="325" t="s">
        <v>1496</v>
      </c>
      <c r="F386" s="225">
        <v>722204</v>
      </c>
      <c r="G386" s="225" t="s">
        <v>185</v>
      </c>
      <c r="H386" s="348" t="s">
        <v>1350</v>
      </c>
      <c r="I386" s="235">
        <v>1</v>
      </c>
      <c r="J386" s="198" t="s">
        <v>1465</v>
      </c>
      <c r="K386" s="242" t="s">
        <v>105</v>
      </c>
      <c r="L386" s="25"/>
      <c r="M386" s="9"/>
      <c r="N386" s="9"/>
      <c r="O386" s="9"/>
      <c r="P386" s="9"/>
      <c r="Q386" s="9"/>
    </row>
    <row r="387" spans="2:17" customFormat="1" hidden="1">
      <c r="B387" s="120" t="s">
        <v>1016</v>
      </c>
      <c r="C387" s="221" t="s">
        <v>1493</v>
      </c>
      <c r="D387" s="219" t="s">
        <v>277</v>
      </c>
      <c r="E387" s="325" t="s">
        <v>34</v>
      </c>
      <c r="F387" s="225">
        <v>723103</v>
      </c>
      <c r="G387" s="225" t="s">
        <v>75</v>
      </c>
      <c r="H387" s="120" t="s">
        <v>1420</v>
      </c>
      <c r="I387" s="235">
        <v>23</v>
      </c>
      <c r="J387" s="7" t="s">
        <v>228</v>
      </c>
      <c r="K387" s="221" t="s">
        <v>104</v>
      </c>
      <c r="L387" s="25"/>
      <c r="M387" s="9"/>
      <c r="N387" s="9"/>
      <c r="O387" s="9"/>
      <c r="P387" s="9"/>
      <c r="Q387" s="9"/>
    </row>
    <row r="388" spans="2:17" customFormat="1" hidden="1">
      <c r="B388" s="120" t="s">
        <v>1017</v>
      </c>
      <c r="C388" s="221" t="s">
        <v>1493</v>
      </c>
      <c r="D388" s="219" t="s">
        <v>277</v>
      </c>
      <c r="E388" s="198" t="s">
        <v>39</v>
      </c>
      <c r="F388" s="225">
        <v>711204</v>
      </c>
      <c r="G388" s="225" t="s">
        <v>106</v>
      </c>
      <c r="H388" s="120" t="s">
        <v>2396</v>
      </c>
      <c r="I388" s="235">
        <v>6</v>
      </c>
      <c r="J388" s="198" t="s">
        <v>1465</v>
      </c>
      <c r="K388" s="221" t="s">
        <v>105</v>
      </c>
      <c r="L388" s="25"/>
      <c r="M388" s="9"/>
      <c r="N388" s="9"/>
      <c r="O388" s="9"/>
      <c r="P388" s="9"/>
      <c r="Q388" s="9"/>
    </row>
    <row r="389" spans="2:17" customFormat="1" hidden="1">
      <c r="B389" s="120" t="s">
        <v>1018</v>
      </c>
      <c r="C389" s="221" t="s">
        <v>1493</v>
      </c>
      <c r="D389" s="219" t="s">
        <v>277</v>
      </c>
      <c r="E389" s="324" t="s">
        <v>226</v>
      </c>
      <c r="F389" s="225">
        <v>513101</v>
      </c>
      <c r="G389" s="225" t="s">
        <v>227</v>
      </c>
      <c r="H389" s="220"/>
      <c r="I389" s="318">
        <v>0</v>
      </c>
      <c r="J389" s="141" t="s">
        <v>547</v>
      </c>
      <c r="K389" s="221" t="s">
        <v>41</v>
      </c>
      <c r="L389" s="20"/>
      <c r="M389" s="9"/>
      <c r="N389" s="9"/>
      <c r="O389" s="9"/>
      <c r="P389" s="9"/>
      <c r="Q389" s="9"/>
    </row>
    <row r="390" spans="2:17" customFormat="1" hidden="1">
      <c r="B390" s="120" t="s">
        <v>1019</v>
      </c>
      <c r="C390" s="221" t="s">
        <v>1493</v>
      </c>
      <c r="D390" s="219" t="s">
        <v>277</v>
      </c>
      <c r="E390" s="324" t="s">
        <v>1497</v>
      </c>
      <c r="F390" s="225">
        <v>832201</v>
      </c>
      <c r="G390" s="225" t="s">
        <v>520</v>
      </c>
      <c r="H390" s="120" t="s">
        <v>1324</v>
      </c>
      <c r="I390" s="235">
        <v>5</v>
      </c>
      <c r="J390" s="141" t="s">
        <v>547</v>
      </c>
      <c r="K390" s="221" t="s">
        <v>41</v>
      </c>
      <c r="L390" s="20"/>
      <c r="M390" s="9"/>
      <c r="N390" s="9"/>
      <c r="O390" s="9"/>
      <c r="P390" s="9"/>
      <c r="Q390" s="9"/>
    </row>
    <row r="391" spans="2:17" customFormat="1" hidden="1">
      <c r="B391" s="120" t="s">
        <v>1020</v>
      </c>
      <c r="C391" s="221" t="s">
        <v>1493</v>
      </c>
      <c r="D391" s="219" t="s">
        <v>277</v>
      </c>
      <c r="E391" s="325" t="s">
        <v>36</v>
      </c>
      <c r="F391" s="225">
        <v>514101</v>
      </c>
      <c r="G391" s="225" t="s">
        <v>77</v>
      </c>
      <c r="H391" s="120" t="s">
        <v>1413</v>
      </c>
      <c r="I391" s="372">
        <v>3</v>
      </c>
      <c r="J391" s="7" t="s">
        <v>228</v>
      </c>
      <c r="K391" s="221" t="s">
        <v>104</v>
      </c>
      <c r="L391" s="22"/>
      <c r="M391" s="9"/>
      <c r="N391" s="9"/>
      <c r="O391" s="9"/>
      <c r="P391" s="9"/>
      <c r="Q391" s="9"/>
    </row>
    <row r="392" spans="2:17" customFormat="1" hidden="1">
      <c r="B392" s="120" t="s">
        <v>1021</v>
      </c>
      <c r="C392" s="221" t="s">
        <v>1493</v>
      </c>
      <c r="D392" s="219" t="s">
        <v>277</v>
      </c>
      <c r="E392" s="404" t="s">
        <v>58</v>
      </c>
      <c r="F392" s="120">
        <v>753402</v>
      </c>
      <c r="G392" s="120" t="s">
        <v>70</v>
      </c>
      <c r="H392" s="406" t="s">
        <v>2338</v>
      </c>
      <c r="I392" s="405">
        <v>1</v>
      </c>
      <c r="J392" s="172" t="s">
        <v>117</v>
      </c>
      <c r="K392" s="390" t="s">
        <v>943</v>
      </c>
      <c r="L392" s="22"/>
      <c r="M392" s="286"/>
      <c r="N392" s="286"/>
      <c r="O392" s="286"/>
      <c r="P392" s="286"/>
      <c r="Q392" s="286"/>
    </row>
    <row r="393" spans="2:17" ht="30" hidden="1">
      <c r="B393" s="120" t="s">
        <v>1022</v>
      </c>
      <c r="C393" s="207" t="s">
        <v>1158</v>
      </c>
      <c r="D393" s="120" t="s">
        <v>560</v>
      </c>
      <c r="E393" s="207" t="s">
        <v>278</v>
      </c>
      <c r="F393" s="120">
        <v>751201</v>
      </c>
      <c r="G393" s="120" t="s">
        <v>183</v>
      </c>
      <c r="H393" s="306" t="s">
        <v>2257</v>
      </c>
      <c r="I393" s="137">
        <v>3</v>
      </c>
      <c r="J393" s="278" t="s">
        <v>116</v>
      </c>
      <c r="K393" s="207" t="s">
        <v>942</v>
      </c>
      <c r="L393" s="22"/>
      <c r="M393" s="195"/>
      <c r="N393" s="195"/>
      <c r="O393" s="195"/>
      <c r="P393" s="195"/>
      <c r="Q393" s="195"/>
    </row>
    <row r="394" spans="2:17" ht="30" hidden="1">
      <c r="B394" s="120" t="s">
        <v>1023</v>
      </c>
      <c r="C394" s="207" t="s">
        <v>1158</v>
      </c>
      <c r="D394" s="120" t="s">
        <v>560</v>
      </c>
      <c r="E394" s="207" t="s">
        <v>278</v>
      </c>
      <c r="F394" s="120">
        <v>751201</v>
      </c>
      <c r="G394" s="120" t="s">
        <v>183</v>
      </c>
      <c r="H394" s="306" t="s">
        <v>2257</v>
      </c>
      <c r="I394" s="137">
        <v>2</v>
      </c>
      <c r="J394" s="278" t="s">
        <v>116</v>
      </c>
      <c r="K394" s="207" t="s">
        <v>942</v>
      </c>
      <c r="L394" s="22"/>
      <c r="M394" s="195"/>
      <c r="N394" s="195"/>
      <c r="O394" s="195"/>
      <c r="P394" s="195"/>
      <c r="Q394" s="195"/>
    </row>
    <row r="395" spans="2:17" ht="45" hidden="1">
      <c r="B395" s="120" t="s">
        <v>1024</v>
      </c>
      <c r="C395" s="207" t="s">
        <v>1158</v>
      </c>
      <c r="D395" s="120" t="s">
        <v>560</v>
      </c>
      <c r="E395" s="207" t="s">
        <v>36</v>
      </c>
      <c r="F395" s="120">
        <v>514101</v>
      </c>
      <c r="G395" s="120" t="s">
        <v>77</v>
      </c>
      <c r="H395" s="306" t="s">
        <v>2253</v>
      </c>
      <c r="I395" s="137">
        <v>7</v>
      </c>
      <c r="J395" s="278" t="s">
        <v>116</v>
      </c>
      <c r="K395" s="207" t="s">
        <v>942</v>
      </c>
      <c r="L395" s="22"/>
      <c r="M395" s="195"/>
      <c r="N395" s="195"/>
      <c r="O395" s="195"/>
      <c r="P395" s="195"/>
      <c r="Q395" s="195"/>
    </row>
    <row r="396" spans="2:17" ht="45" hidden="1">
      <c r="B396" s="120" t="s">
        <v>1025</v>
      </c>
      <c r="C396" s="207" t="s">
        <v>1158</v>
      </c>
      <c r="D396" s="120" t="s">
        <v>560</v>
      </c>
      <c r="E396" s="207" t="s">
        <v>36</v>
      </c>
      <c r="F396" s="120">
        <v>514101</v>
      </c>
      <c r="G396" s="120" t="s">
        <v>77</v>
      </c>
      <c r="H396" s="306" t="s">
        <v>2253</v>
      </c>
      <c r="I396" s="137">
        <v>6</v>
      </c>
      <c r="J396" s="278" t="s">
        <v>116</v>
      </c>
      <c r="K396" s="207" t="s">
        <v>942</v>
      </c>
      <c r="L396" s="22"/>
      <c r="M396" s="195"/>
      <c r="N396" s="195"/>
      <c r="O396" s="195"/>
      <c r="P396" s="195"/>
      <c r="Q396" s="195"/>
    </row>
    <row r="397" spans="2:17" ht="45" hidden="1">
      <c r="B397" s="120" t="s">
        <v>1026</v>
      </c>
      <c r="C397" s="207" t="s">
        <v>1158</v>
      </c>
      <c r="D397" s="120" t="s">
        <v>560</v>
      </c>
      <c r="E397" s="207" t="s">
        <v>36</v>
      </c>
      <c r="F397" s="120">
        <v>514101</v>
      </c>
      <c r="G397" s="120" t="s">
        <v>77</v>
      </c>
      <c r="H397" s="306" t="s">
        <v>2253</v>
      </c>
      <c r="I397" s="137">
        <v>7</v>
      </c>
      <c r="J397" s="278" t="s">
        <v>116</v>
      </c>
      <c r="K397" s="207" t="s">
        <v>942</v>
      </c>
      <c r="L397" s="22"/>
      <c r="M397" s="195"/>
      <c r="N397" s="195"/>
      <c r="O397" s="195"/>
      <c r="P397" s="195"/>
      <c r="Q397" s="195"/>
    </row>
    <row r="398" spans="2:17" ht="30" hidden="1">
      <c r="B398" s="120" t="s">
        <v>1027</v>
      </c>
      <c r="C398" s="207" t="s">
        <v>1158</v>
      </c>
      <c r="D398" s="120" t="s">
        <v>560</v>
      </c>
      <c r="E398" s="207" t="s">
        <v>44</v>
      </c>
      <c r="F398" s="120">
        <v>512001</v>
      </c>
      <c r="G398" s="120" t="s">
        <v>81</v>
      </c>
      <c r="H398" s="297" t="s">
        <v>2256</v>
      </c>
      <c r="I398" s="137">
        <v>2</v>
      </c>
      <c r="J398" s="278" t="s">
        <v>116</v>
      </c>
      <c r="K398" s="207" t="s">
        <v>942</v>
      </c>
      <c r="L398" s="22"/>
      <c r="M398" s="195"/>
      <c r="N398" s="195"/>
      <c r="O398" s="195"/>
      <c r="P398" s="195"/>
      <c r="Q398" s="195"/>
    </row>
    <row r="399" spans="2:17" ht="30" hidden="1">
      <c r="B399" s="120" t="s">
        <v>1028</v>
      </c>
      <c r="C399" s="207" t="s">
        <v>1158</v>
      </c>
      <c r="D399" s="120" t="s">
        <v>560</v>
      </c>
      <c r="E399" s="207" t="s">
        <v>44</v>
      </c>
      <c r="F399" s="120">
        <v>512001</v>
      </c>
      <c r="G399" s="120" t="s">
        <v>81</v>
      </c>
      <c r="H399" s="297" t="s">
        <v>2256</v>
      </c>
      <c r="I399" s="137">
        <v>3</v>
      </c>
      <c r="J399" s="278" t="s">
        <v>116</v>
      </c>
      <c r="K399" s="207" t="s">
        <v>942</v>
      </c>
      <c r="L399" s="22"/>
      <c r="M399" s="195"/>
      <c r="N399" s="195"/>
      <c r="O399" s="195"/>
      <c r="P399" s="195"/>
      <c r="Q399" s="195"/>
    </row>
    <row r="400" spans="2:17" ht="60">
      <c r="B400" s="120" t="s">
        <v>1029</v>
      </c>
      <c r="C400" s="207" t="s">
        <v>1158</v>
      </c>
      <c r="D400" s="120" t="s">
        <v>560</v>
      </c>
      <c r="E400" s="321" t="s">
        <v>45</v>
      </c>
      <c r="F400" s="120">
        <v>522301</v>
      </c>
      <c r="G400" s="120" t="s">
        <v>43</v>
      </c>
      <c r="H400" s="307" t="s">
        <v>2340</v>
      </c>
      <c r="I400" s="137">
        <v>2</v>
      </c>
      <c r="J400" s="278" t="s">
        <v>116</v>
      </c>
      <c r="K400" s="207" t="s">
        <v>942</v>
      </c>
      <c r="L400" s="22"/>
      <c r="M400" s="195"/>
      <c r="N400" s="195"/>
      <c r="O400" s="195"/>
      <c r="P400" s="195"/>
      <c r="Q400" s="195"/>
    </row>
    <row r="401" spans="2:17" ht="60">
      <c r="B401" s="120" t="s">
        <v>1030</v>
      </c>
      <c r="C401" s="207" t="s">
        <v>1158</v>
      </c>
      <c r="D401" s="120" t="s">
        <v>560</v>
      </c>
      <c r="E401" s="321" t="s">
        <v>45</v>
      </c>
      <c r="F401" s="120">
        <v>522301</v>
      </c>
      <c r="G401" s="120" t="s">
        <v>43</v>
      </c>
      <c r="H401" s="307" t="s">
        <v>2340</v>
      </c>
      <c r="I401" s="137">
        <v>2</v>
      </c>
      <c r="J401" s="278" t="s">
        <v>116</v>
      </c>
      <c r="K401" s="207" t="s">
        <v>942</v>
      </c>
      <c r="L401" s="22"/>
      <c r="M401" s="195"/>
      <c r="N401" s="195"/>
      <c r="O401" s="195"/>
      <c r="P401" s="195"/>
      <c r="Q401" s="195"/>
    </row>
    <row r="402" spans="2:17" ht="60">
      <c r="B402" s="120" t="s">
        <v>1031</v>
      </c>
      <c r="C402" s="207" t="s">
        <v>1158</v>
      </c>
      <c r="D402" s="120" t="s">
        <v>560</v>
      </c>
      <c r="E402" s="321" t="s">
        <v>45</v>
      </c>
      <c r="F402" s="120">
        <v>522301</v>
      </c>
      <c r="G402" s="120" t="s">
        <v>43</v>
      </c>
      <c r="H402" s="307" t="s">
        <v>2340</v>
      </c>
      <c r="I402" s="137">
        <v>2</v>
      </c>
      <c r="J402" s="278" t="s">
        <v>116</v>
      </c>
      <c r="K402" s="207" t="s">
        <v>942</v>
      </c>
      <c r="L402" s="22"/>
      <c r="M402" s="195"/>
      <c r="N402" s="195"/>
      <c r="O402" s="195"/>
      <c r="P402" s="195"/>
      <c r="Q402" s="195"/>
    </row>
    <row r="403" spans="2:17" ht="60">
      <c r="B403" s="120" t="s">
        <v>1032</v>
      </c>
      <c r="C403" s="207" t="s">
        <v>1158</v>
      </c>
      <c r="D403" s="120" t="s">
        <v>560</v>
      </c>
      <c r="E403" s="321" t="s">
        <v>45</v>
      </c>
      <c r="F403" s="120">
        <v>522301</v>
      </c>
      <c r="G403" s="120" t="s">
        <v>43</v>
      </c>
      <c r="H403" s="307" t="s">
        <v>1430</v>
      </c>
      <c r="I403" s="137">
        <v>2</v>
      </c>
      <c r="J403" s="278" t="s">
        <v>116</v>
      </c>
      <c r="K403" s="207" t="s">
        <v>942</v>
      </c>
      <c r="L403" s="22"/>
      <c r="M403" s="195"/>
      <c r="N403" s="195"/>
      <c r="O403" s="195"/>
      <c r="P403" s="195"/>
      <c r="Q403" s="195"/>
    </row>
    <row r="404" spans="2:17" hidden="1">
      <c r="B404" s="120" t="s">
        <v>1033</v>
      </c>
      <c r="C404" s="207" t="s">
        <v>1158</v>
      </c>
      <c r="D404" s="120" t="s">
        <v>560</v>
      </c>
      <c r="E404" s="207" t="s">
        <v>34</v>
      </c>
      <c r="F404" s="120">
        <v>723103</v>
      </c>
      <c r="G404" s="120" t="s">
        <v>75</v>
      </c>
      <c r="H404" s="295" t="s">
        <v>2281</v>
      </c>
      <c r="I404" s="137">
        <v>13</v>
      </c>
      <c r="J404" s="7" t="s">
        <v>1485</v>
      </c>
      <c r="K404" s="207" t="s">
        <v>35</v>
      </c>
      <c r="L404" s="22"/>
      <c r="M404" s="195"/>
      <c r="N404" s="195"/>
      <c r="O404" s="195"/>
      <c r="P404" s="195"/>
      <c r="Q404" s="195"/>
    </row>
    <row r="405" spans="2:17" customFormat="1" hidden="1">
      <c r="B405" s="120" t="s">
        <v>1034</v>
      </c>
      <c r="C405" s="221" t="s">
        <v>1158</v>
      </c>
      <c r="D405" s="219" t="s">
        <v>560</v>
      </c>
      <c r="E405" s="136" t="s">
        <v>87</v>
      </c>
      <c r="F405" s="120">
        <v>741103</v>
      </c>
      <c r="G405" s="120" t="s">
        <v>54</v>
      </c>
      <c r="H405" s="120" t="s">
        <v>1350</v>
      </c>
      <c r="I405" s="137">
        <v>5</v>
      </c>
      <c r="J405" s="198" t="s">
        <v>1465</v>
      </c>
      <c r="K405" s="122" t="s">
        <v>105</v>
      </c>
      <c r="L405" s="22"/>
      <c r="M405" s="9"/>
      <c r="N405" s="9"/>
      <c r="O405" s="9"/>
      <c r="P405" s="9"/>
      <c r="Q405" s="9"/>
    </row>
    <row r="406" spans="2:17" customFormat="1" hidden="1">
      <c r="B406" s="120" t="s">
        <v>1035</v>
      </c>
      <c r="C406" s="221" t="s">
        <v>1158</v>
      </c>
      <c r="D406" s="219" t="s">
        <v>560</v>
      </c>
      <c r="E406" s="221" t="s">
        <v>52</v>
      </c>
      <c r="F406" s="120">
        <v>721306</v>
      </c>
      <c r="G406" s="120" t="s">
        <v>63</v>
      </c>
      <c r="H406" s="158"/>
      <c r="I406" s="137">
        <v>1</v>
      </c>
      <c r="J406" s="172" t="s">
        <v>1498</v>
      </c>
      <c r="K406" s="122" t="s">
        <v>851</v>
      </c>
      <c r="L406" s="22"/>
      <c r="M406" s="9"/>
      <c r="N406" s="9"/>
      <c r="O406" s="9"/>
      <c r="P406" s="9"/>
      <c r="Q406" s="9"/>
    </row>
    <row r="407" spans="2:17" customFormat="1" hidden="1">
      <c r="B407" s="120" t="s">
        <v>1036</v>
      </c>
      <c r="C407" s="221" t="s">
        <v>1158</v>
      </c>
      <c r="D407" s="219" t="s">
        <v>560</v>
      </c>
      <c r="E407" s="221" t="s">
        <v>58</v>
      </c>
      <c r="F407" s="120">
        <v>753402</v>
      </c>
      <c r="G407" s="120" t="s">
        <v>70</v>
      </c>
      <c r="H407" s="158"/>
      <c r="I407" s="137">
        <v>1</v>
      </c>
      <c r="J407" s="172" t="s">
        <v>1498</v>
      </c>
      <c r="K407" s="221" t="s">
        <v>851</v>
      </c>
      <c r="L407" s="22"/>
      <c r="M407" s="9"/>
      <c r="N407" s="9"/>
      <c r="O407" s="9"/>
      <c r="P407" s="9"/>
      <c r="Q407" s="9"/>
    </row>
    <row r="408" spans="2:17" customFormat="1" hidden="1">
      <c r="B408" s="120" t="s">
        <v>1037</v>
      </c>
      <c r="C408" s="221" t="s">
        <v>1158</v>
      </c>
      <c r="D408" s="219" t="s">
        <v>560</v>
      </c>
      <c r="E408" s="221" t="s">
        <v>263</v>
      </c>
      <c r="F408" s="120">
        <v>742117</v>
      </c>
      <c r="G408" s="120" t="s">
        <v>221</v>
      </c>
      <c r="H408" s="158"/>
      <c r="I408" s="137">
        <v>1</v>
      </c>
      <c r="J408" s="172" t="s">
        <v>1498</v>
      </c>
      <c r="K408" s="221" t="s">
        <v>851</v>
      </c>
      <c r="L408" s="22"/>
      <c r="M408" s="9"/>
      <c r="N408" s="9"/>
      <c r="O408" s="9"/>
      <c r="P408" s="9"/>
      <c r="Q408" s="9"/>
    </row>
    <row r="409" spans="2:17" customFormat="1" hidden="1">
      <c r="B409" s="120" t="s">
        <v>1038</v>
      </c>
      <c r="C409" s="221" t="s">
        <v>1158</v>
      </c>
      <c r="D409" s="219" t="s">
        <v>560</v>
      </c>
      <c r="E409" s="221" t="s">
        <v>206</v>
      </c>
      <c r="F409" s="120">
        <v>722204</v>
      </c>
      <c r="G409" s="120" t="s">
        <v>185</v>
      </c>
      <c r="H409" s="158"/>
      <c r="I409" s="137">
        <v>1</v>
      </c>
      <c r="J409" s="172" t="s">
        <v>1498</v>
      </c>
      <c r="K409" s="221" t="s">
        <v>851</v>
      </c>
      <c r="L409" s="22"/>
      <c r="M409" s="9"/>
      <c r="N409" s="9"/>
      <c r="O409" s="9"/>
      <c r="P409" s="9"/>
      <c r="Q409" s="9"/>
    </row>
    <row r="410" spans="2:17" customFormat="1" hidden="1">
      <c r="B410" s="120" t="s">
        <v>1039</v>
      </c>
      <c r="C410" s="221" t="s">
        <v>1158</v>
      </c>
      <c r="D410" s="219" t="s">
        <v>560</v>
      </c>
      <c r="E410" s="198" t="s">
        <v>39</v>
      </c>
      <c r="F410" s="120">
        <v>711204</v>
      </c>
      <c r="G410" s="120" t="s">
        <v>106</v>
      </c>
      <c r="H410" s="158"/>
      <c r="I410" s="137">
        <v>1</v>
      </c>
      <c r="J410" s="172" t="s">
        <v>1498</v>
      </c>
      <c r="K410" s="221" t="s">
        <v>851</v>
      </c>
      <c r="L410" s="22"/>
      <c r="M410" s="9"/>
      <c r="N410" s="9"/>
      <c r="O410" s="9"/>
      <c r="P410" s="9"/>
      <c r="Q410" s="9"/>
    </row>
    <row r="411" spans="2:17" customFormat="1" hidden="1">
      <c r="B411" s="120" t="s">
        <v>1040</v>
      </c>
      <c r="C411" s="221" t="s">
        <v>1158</v>
      </c>
      <c r="D411" s="219" t="s">
        <v>560</v>
      </c>
      <c r="E411" s="221" t="s">
        <v>546</v>
      </c>
      <c r="F411" s="120">
        <v>611303</v>
      </c>
      <c r="G411" s="120" t="s">
        <v>551</v>
      </c>
      <c r="H411" s="120" t="s">
        <v>1323</v>
      </c>
      <c r="I411" s="137">
        <v>3</v>
      </c>
      <c r="J411" s="141" t="s">
        <v>547</v>
      </c>
      <c r="K411" s="221" t="s">
        <v>41</v>
      </c>
      <c r="L411" s="22"/>
      <c r="M411" s="9"/>
      <c r="N411" s="9"/>
      <c r="O411" s="9"/>
      <c r="P411" s="9"/>
      <c r="Q411" s="9"/>
    </row>
    <row r="412" spans="2:17" customFormat="1" hidden="1">
      <c r="B412" s="120" t="s">
        <v>1041</v>
      </c>
      <c r="C412" s="221" t="s">
        <v>1158</v>
      </c>
      <c r="D412" s="219" t="s">
        <v>560</v>
      </c>
      <c r="E412" s="221" t="s">
        <v>1440</v>
      </c>
      <c r="F412" s="120">
        <v>712101</v>
      </c>
      <c r="G412" s="120" t="s">
        <v>184</v>
      </c>
      <c r="H412" s="158" t="s">
        <v>2346</v>
      </c>
      <c r="I412" s="137">
        <v>1</v>
      </c>
      <c r="J412" s="141" t="s">
        <v>547</v>
      </c>
      <c r="K412" s="221" t="s">
        <v>41</v>
      </c>
      <c r="L412" s="22"/>
      <c r="M412" s="9"/>
      <c r="N412" s="9"/>
      <c r="O412" s="9"/>
      <c r="P412" s="9"/>
      <c r="Q412" s="9"/>
    </row>
    <row r="413" spans="2:17" customFormat="1" hidden="1">
      <c r="B413" s="120" t="s">
        <v>1042</v>
      </c>
      <c r="C413" s="221" t="s">
        <v>1158</v>
      </c>
      <c r="D413" s="219" t="s">
        <v>560</v>
      </c>
      <c r="E413" s="198" t="s">
        <v>198</v>
      </c>
      <c r="F413" s="199">
        <v>712618</v>
      </c>
      <c r="G413" s="120" t="s">
        <v>86</v>
      </c>
      <c r="H413" s="158" t="s">
        <v>1321</v>
      </c>
      <c r="I413" s="137">
        <v>3</v>
      </c>
      <c r="J413" s="141" t="s">
        <v>547</v>
      </c>
      <c r="K413" s="221" t="s">
        <v>41</v>
      </c>
      <c r="L413" s="22"/>
      <c r="M413" s="9"/>
      <c r="N413" s="9"/>
      <c r="O413" s="9"/>
      <c r="P413" s="9"/>
      <c r="Q413" s="9"/>
    </row>
    <row r="414" spans="2:17" customFormat="1" hidden="1">
      <c r="B414" s="120" t="s">
        <v>1043</v>
      </c>
      <c r="C414" s="221" t="s">
        <v>1158</v>
      </c>
      <c r="D414" s="219" t="s">
        <v>560</v>
      </c>
      <c r="E414" s="221" t="s">
        <v>55</v>
      </c>
      <c r="F414" s="120">
        <v>343101</v>
      </c>
      <c r="G414" s="120" t="s">
        <v>65</v>
      </c>
      <c r="H414" s="158" t="s">
        <v>2346</v>
      </c>
      <c r="I414" s="137">
        <v>1</v>
      </c>
      <c r="J414" s="141" t="s">
        <v>547</v>
      </c>
      <c r="K414" s="221" t="s">
        <v>41</v>
      </c>
      <c r="L414" s="20"/>
      <c r="M414" s="9"/>
      <c r="N414" s="9"/>
      <c r="O414" s="9"/>
      <c r="P414" s="9"/>
      <c r="Q414" s="9"/>
    </row>
    <row r="415" spans="2:17" customFormat="1" hidden="1">
      <c r="B415" s="120" t="s">
        <v>1044</v>
      </c>
      <c r="C415" s="221" t="s">
        <v>1499</v>
      </c>
      <c r="D415" s="8" t="s">
        <v>214</v>
      </c>
      <c r="E415" s="198" t="s">
        <v>114</v>
      </c>
      <c r="F415" s="199">
        <v>514101</v>
      </c>
      <c r="G415" s="199" t="s">
        <v>77</v>
      </c>
      <c r="H415" s="120" t="s">
        <v>2357</v>
      </c>
      <c r="I415" s="200">
        <v>6</v>
      </c>
      <c r="J415" s="172" t="s">
        <v>117</v>
      </c>
      <c r="K415" s="221" t="s">
        <v>943</v>
      </c>
      <c r="L415" s="20"/>
      <c r="M415" s="9"/>
      <c r="N415" s="9"/>
      <c r="O415" s="9"/>
      <c r="P415" s="9"/>
      <c r="Q415" s="9"/>
    </row>
    <row r="416" spans="2:17" customFormat="1" hidden="1">
      <c r="B416" s="120" t="s">
        <v>1045</v>
      </c>
      <c r="C416" s="221" t="s">
        <v>1499</v>
      </c>
      <c r="D416" s="219" t="s">
        <v>214</v>
      </c>
      <c r="E416" s="136" t="s">
        <v>87</v>
      </c>
      <c r="F416" s="199">
        <v>741103</v>
      </c>
      <c r="G416" s="199" t="s">
        <v>54</v>
      </c>
      <c r="H416" s="120" t="s">
        <v>2248</v>
      </c>
      <c r="I416" s="200">
        <v>6</v>
      </c>
      <c r="J416" s="172" t="s">
        <v>117</v>
      </c>
      <c r="K416" s="221" t="s">
        <v>943</v>
      </c>
      <c r="L416" s="22"/>
      <c r="M416" s="9"/>
      <c r="N416" s="9"/>
      <c r="O416" s="9"/>
      <c r="P416" s="9"/>
      <c r="Q416" s="9"/>
    </row>
    <row r="417" spans="2:17" customFormat="1" hidden="1">
      <c r="B417" s="120" t="s">
        <v>1046</v>
      </c>
      <c r="C417" s="221" t="s">
        <v>1499</v>
      </c>
      <c r="D417" s="219" t="s">
        <v>214</v>
      </c>
      <c r="E417" s="198" t="s">
        <v>198</v>
      </c>
      <c r="F417" s="199">
        <v>712618</v>
      </c>
      <c r="G417" s="199" t="s">
        <v>86</v>
      </c>
      <c r="H417" s="120" t="s">
        <v>2413</v>
      </c>
      <c r="I417" s="200">
        <v>2</v>
      </c>
      <c r="J417" s="172" t="s">
        <v>117</v>
      </c>
      <c r="K417" s="221" t="s">
        <v>943</v>
      </c>
      <c r="L417" s="22"/>
      <c r="M417" s="9"/>
      <c r="N417" s="9"/>
      <c r="O417" s="9"/>
      <c r="P417" s="9"/>
      <c r="Q417" s="9"/>
    </row>
    <row r="418" spans="2:17" customFormat="1" hidden="1">
      <c r="B418" s="120" t="s">
        <v>1047</v>
      </c>
      <c r="C418" s="221" t="s">
        <v>1499</v>
      </c>
      <c r="D418" s="219" t="s">
        <v>214</v>
      </c>
      <c r="E418" s="198" t="s">
        <v>91</v>
      </c>
      <c r="F418" s="199">
        <v>752205</v>
      </c>
      <c r="G418" s="199" t="s">
        <v>69</v>
      </c>
      <c r="H418" s="120" t="s">
        <v>2357</v>
      </c>
      <c r="I418" s="200">
        <v>3</v>
      </c>
      <c r="J418" s="172" t="s">
        <v>117</v>
      </c>
      <c r="K418" s="221" t="s">
        <v>943</v>
      </c>
      <c r="L418" s="22"/>
      <c r="M418" s="9"/>
      <c r="N418" s="9"/>
      <c r="O418" s="9"/>
      <c r="P418" s="9"/>
      <c r="Q418" s="9"/>
    </row>
    <row r="419" spans="2:17" customFormat="1" hidden="1">
      <c r="B419" s="120" t="s">
        <v>1048</v>
      </c>
      <c r="C419" s="221" t="s">
        <v>1499</v>
      </c>
      <c r="D419" s="219" t="s">
        <v>214</v>
      </c>
      <c r="E419" s="198" t="s">
        <v>217</v>
      </c>
      <c r="F419" s="199">
        <v>722204</v>
      </c>
      <c r="G419" s="199" t="s">
        <v>185</v>
      </c>
      <c r="H419" s="120" t="s">
        <v>2379</v>
      </c>
      <c r="I419" s="57">
        <v>2</v>
      </c>
      <c r="J419" s="198" t="s">
        <v>219</v>
      </c>
      <c r="K419" s="122" t="s">
        <v>852</v>
      </c>
      <c r="L419" s="22"/>
      <c r="M419" s="9"/>
      <c r="N419" s="9"/>
      <c r="O419" s="9"/>
      <c r="P419" s="9"/>
      <c r="Q419" s="9"/>
    </row>
    <row r="420" spans="2:17" customFormat="1" hidden="1">
      <c r="B420" s="120" t="s">
        <v>1049</v>
      </c>
      <c r="C420" s="221" t="s">
        <v>1499</v>
      </c>
      <c r="D420" s="219" t="s">
        <v>214</v>
      </c>
      <c r="E420" s="198" t="s">
        <v>74</v>
      </c>
      <c r="F420" s="199">
        <v>723103</v>
      </c>
      <c r="G420" s="199" t="s">
        <v>75</v>
      </c>
      <c r="H420" s="120" t="s">
        <v>2357</v>
      </c>
      <c r="I420" s="200">
        <v>3</v>
      </c>
      <c r="J420" s="172" t="s">
        <v>117</v>
      </c>
      <c r="K420" s="221" t="s">
        <v>943</v>
      </c>
      <c r="L420" s="20"/>
      <c r="M420" s="9"/>
      <c r="N420" s="9"/>
      <c r="O420" s="9"/>
      <c r="P420" s="9"/>
      <c r="Q420" s="9"/>
    </row>
    <row r="421" spans="2:17" customFormat="1">
      <c r="B421" s="120" t="s">
        <v>1050</v>
      </c>
      <c r="C421" s="221" t="s">
        <v>1499</v>
      </c>
      <c r="D421" s="219" t="s">
        <v>214</v>
      </c>
      <c r="E421" s="321" t="s">
        <v>45</v>
      </c>
      <c r="F421" s="199">
        <v>522301</v>
      </c>
      <c r="G421" s="199" t="s">
        <v>43</v>
      </c>
      <c r="H421" s="348" t="s">
        <v>2338</v>
      </c>
      <c r="I421" s="200">
        <v>12</v>
      </c>
      <c r="J421" s="172" t="s">
        <v>117</v>
      </c>
      <c r="K421" s="221" t="s">
        <v>943</v>
      </c>
      <c r="L421" s="20"/>
      <c r="M421" s="9"/>
      <c r="N421" s="9"/>
      <c r="O421" s="9"/>
      <c r="P421" s="9"/>
      <c r="Q421" s="9"/>
    </row>
    <row r="422" spans="2:17" customFormat="1" hidden="1">
      <c r="B422" s="120" t="s">
        <v>1051</v>
      </c>
      <c r="C422" s="221" t="s">
        <v>1499</v>
      </c>
      <c r="D422" s="219" t="s">
        <v>214</v>
      </c>
      <c r="E422" s="198" t="s">
        <v>215</v>
      </c>
      <c r="F422" s="199">
        <v>751201</v>
      </c>
      <c r="G422" s="199" t="s">
        <v>183</v>
      </c>
      <c r="H422" s="348" t="s">
        <v>2248</v>
      </c>
      <c r="I422" s="200">
        <v>8</v>
      </c>
      <c r="J422" s="172" t="s">
        <v>117</v>
      </c>
      <c r="K422" s="221" t="s">
        <v>943</v>
      </c>
      <c r="L422" s="20"/>
      <c r="M422" s="9"/>
      <c r="N422" s="9"/>
      <c r="O422" s="9"/>
      <c r="P422" s="9"/>
      <c r="Q422" s="9"/>
    </row>
    <row r="423" spans="2:17" customFormat="1" hidden="1">
      <c r="B423" s="120" t="s">
        <v>1052</v>
      </c>
      <c r="C423" s="221" t="s">
        <v>1499</v>
      </c>
      <c r="D423" s="219" t="s">
        <v>214</v>
      </c>
      <c r="E423" s="303" t="s">
        <v>57</v>
      </c>
      <c r="F423" s="199">
        <v>751204</v>
      </c>
      <c r="G423" s="199" t="s">
        <v>68</v>
      </c>
      <c r="H423" s="120" t="s">
        <v>2380</v>
      </c>
      <c r="I423" s="200">
        <v>1</v>
      </c>
      <c r="J423" s="198" t="s">
        <v>219</v>
      </c>
      <c r="K423" s="122" t="s">
        <v>852</v>
      </c>
      <c r="L423" s="22"/>
      <c r="M423" s="9"/>
      <c r="N423" s="9"/>
      <c r="O423" s="9"/>
      <c r="P423" s="9"/>
      <c r="Q423" s="9"/>
    </row>
    <row r="424" spans="2:17" customFormat="1" hidden="1">
      <c r="B424" s="120" t="s">
        <v>1053</v>
      </c>
      <c r="C424" s="221" t="s">
        <v>1499</v>
      </c>
      <c r="D424" s="219" t="s">
        <v>214</v>
      </c>
      <c r="E424" s="198" t="s">
        <v>218</v>
      </c>
      <c r="F424" s="199">
        <v>753402</v>
      </c>
      <c r="G424" s="199" t="s">
        <v>70</v>
      </c>
      <c r="H424" s="348" t="s">
        <v>2338</v>
      </c>
      <c r="I424" s="200">
        <v>29</v>
      </c>
      <c r="J424" s="172" t="s">
        <v>117</v>
      </c>
      <c r="K424" s="221" t="s">
        <v>943</v>
      </c>
      <c r="L424" s="22"/>
      <c r="M424" s="9"/>
      <c r="N424" s="9"/>
      <c r="O424" s="9"/>
      <c r="P424" s="9"/>
      <c r="Q424" s="9"/>
    </row>
    <row r="425" spans="2:17" customFormat="1" hidden="1">
      <c r="B425" s="120" t="s">
        <v>1054</v>
      </c>
      <c r="C425" s="221" t="s">
        <v>1500</v>
      </c>
      <c r="D425" s="120" t="s">
        <v>51</v>
      </c>
      <c r="E425" s="236" t="s">
        <v>85</v>
      </c>
      <c r="F425" s="120">
        <v>721306</v>
      </c>
      <c r="G425" s="199" t="s">
        <v>63</v>
      </c>
      <c r="H425" s="349" t="s">
        <v>2397</v>
      </c>
      <c r="I425" s="200">
        <v>1</v>
      </c>
      <c r="J425" s="198" t="s">
        <v>1465</v>
      </c>
      <c r="K425" s="122" t="s">
        <v>105</v>
      </c>
      <c r="L425" s="22"/>
      <c r="M425" s="9"/>
      <c r="N425" s="9"/>
      <c r="O425" s="9"/>
      <c r="P425" s="9"/>
      <c r="Q425" s="9"/>
    </row>
    <row r="426" spans="2:17" customFormat="1" hidden="1">
      <c r="B426" s="120" t="s">
        <v>1055</v>
      </c>
      <c r="C426" s="221" t="s">
        <v>1500</v>
      </c>
      <c r="D426" s="120" t="s">
        <v>51</v>
      </c>
      <c r="E426" s="198" t="s">
        <v>78</v>
      </c>
      <c r="F426" s="120">
        <v>741203</v>
      </c>
      <c r="G426" s="120" t="s">
        <v>64</v>
      </c>
      <c r="H426" s="349" t="s">
        <v>2396</v>
      </c>
      <c r="I426" s="200">
        <v>8</v>
      </c>
      <c r="J426" s="198" t="s">
        <v>1465</v>
      </c>
      <c r="K426" s="221" t="s">
        <v>105</v>
      </c>
      <c r="L426" s="22"/>
      <c r="M426" s="9"/>
      <c r="N426" s="9"/>
      <c r="O426" s="9"/>
      <c r="P426" s="9"/>
      <c r="Q426" s="9"/>
    </row>
    <row r="427" spans="2:17" customFormat="1" hidden="1">
      <c r="B427" s="120" t="s">
        <v>1056</v>
      </c>
      <c r="C427" s="221" t="s">
        <v>1500</v>
      </c>
      <c r="D427" s="120" t="s">
        <v>51</v>
      </c>
      <c r="E427" s="136" t="s">
        <v>87</v>
      </c>
      <c r="F427" s="120">
        <v>741103</v>
      </c>
      <c r="G427" s="199" t="s">
        <v>54</v>
      </c>
      <c r="H427" s="120" t="s">
        <v>1350</v>
      </c>
      <c r="I427" s="200">
        <v>4</v>
      </c>
      <c r="J427" s="198" t="s">
        <v>1465</v>
      </c>
      <c r="K427" s="221" t="s">
        <v>105</v>
      </c>
      <c r="L427" s="22"/>
      <c r="M427" s="9"/>
      <c r="N427" s="9"/>
      <c r="O427" s="9"/>
      <c r="P427" s="9"/>
      <c r="Q427" s="9"/>
    </row>
    <row r="428" spans="2:17" customFormat="1" hidden="1">
      <c r="B428" s="120" t="s">
        <v>1057</v>
      </c>
      <c r="C428" s="221" t="s">
        <v>1500</v>
      </c>
      <c r="D428" s="120" t="s">
        <v>51</v>
      </c>
      <c r="E428" s="198" t="s">
        <v>1435</v>
      </c>
      <c r="F428" s="120">
        <v>713203</v>
      </c>
      <c r="G428" s="120" t="s">
        <v>66</v>
      </c>
      <c r="H428" s="349" t="s">
        <v>2396</v>
      </c>
      <c r="I428" s="200">
        <v>12</v>
      </c>
      <c r="J428" s="198" t="s">
        <v>1465</v>
      </c>
      <c r="K428" s="221" t="s">
        <v>105</v>
      </c>
      <c r="L428" s="22"/>
      <c r="M428" s="9"/>
      <c r="N428" s="9"/>
      <c r="O428" s="9"/>
      <c r="P428" s="9"/>
      <c r="Q428" s="9"/>
    </row>
    <row r="429" spans="2:17" customFormat="1" hidden="1">
      <c r="B429" s="120" t="s">
        <v>1058</v>
      </c>
      <c r="C429" s="221" t="s">
        <v>1500</v>
      </c>
      <c r="D429" s="120" t="s">
        <v>51</v>
      </c>
      <c r="E429" s="198" t="s">
        <v>39</v>
      </c>
      <c r="F429" s="237">
        <v>711204</v>
      </c>
      <c r="G429" s="199" t="s">
        <v>106</v>
      </c>
      <c r="H429" s="120" t="s">
        <v>2396</v>
      </c>
      <c r="I429" s="200">
        <v>1</v>
      </c>
      <c r="J429" s="198" t="s">
        <v>1465</v>
      </c>
      <c r="K429" s="221" t="s">
        <v>105</v>
      </c>
      <c r="L429" s="22"/>
      <c r="M429" s="9"/>
      <c r="N429" s="9"/>
      <c r="O429" s="9"/>
      <c r="P429" s="9"/>
      <c r="Q429" s="9"/>
    </row>
    <row r="430" spans="2:17" customFormat="1" hidden="1">
      <c r="B430" s="120" t="s">
        <v>1059</v>
      </c>
      <c r="C430" s="221" t="s">
        <v>1500</v>
      </c>
      <c r="D430" s="120" t="s">
        <v>51</v>
      </c>
      <c r="E430" s="236" t="s">
        <v>91</v>
      </c>
      <c r="F430" s="120">
        <v>752205</v>
      </c>
      <c r="G430" s="120" t="s">
        <v>69</v>
      </c>
      <c r="H430" s="120" t="s">
        <v>1348</v>
      </c>
      <c r="I430" s="200">
        <v>10</v>
      </c>
      <c r="J430" s="198" t="s">
        <v>1465</v>
      </c>
      <c r="K430" s="221" t="s">
        <v>105</v>
      </c>
      <c r="L430" s="22"/>
      <c r="M430" s="9"/>
      <c r="N430" s="9"/>
      <c r="O430" s="9"/>
      <c r="P430" s="9"/>
      <c r="Q430" s="9"/>
    </row>
    <row r="431" spans="2:17" customFormat="1" hidden="1">
      <c r="B431" s="120" t="s">
        <v>1060</v>
      </c>
      <c r="C431" s="221" t="s">
        <v>1500</v>
      </c>
      <c r="D431" s="120" t="s">
        <v>51</v>
      </c>
      <c r="E431" s="243" t="s">
        <v>56</v>
      </c>
      <c r="F431" s="120">
        <v>712905</v>
      </c>
      <c r="G431" s="120" t="s">
        <v>67</v>
      </c>
      <c r="H431" s="120"/>
      <c r="I431" s="200">
        <v>4</v>
      </c>
      <c r="J431" s="172" t="s">
        <v>1498</v>
      </c>
      <c r="K431" s="357" t="s">
        <v>851</v>
      </c>
      <c r="L431" s="22"/>
      <c r="M431" s="9"/>
      <c r="N431" s="9"/>
      <c r="O431" s="9"/>
      <c r="P431" s="9"/>
      <c r="Q431" s="9"/>
    </row>
    <row r="432" spans="2:17" customFormat="1" hidden="1">
      <c r="B432" s="120" t="s">
        <v>1061</v>
      </c>
      <c r="C432" s="221" t="s">
        <v>1500</v>
      </c>
      <c r="D432" s="120" t="s">
        <v>51</v>
      </c>
      <c r="E432" s="221" t="s">
        <v>55</v>
      </c>
      <c r="F432" s="120">
        <v>343101</v>
      </c>
      <c r="G432" s="120" t="s">
        <v>65</v>
      </c>
      <c r="H432" s="295" t="s">
        <v>1421</v>
      </c>
      <c r="I432" s="200">
        <v>2</v>
      </c>
      <c r="J432" s="358" t="s">
        <v>1501</v>
      </c>
      <c r="K432" s="357" t="s">
        <v>1503</v>
      </c>
      <c r="L432" s="22"/>
      <c r="M432" s="9"/>
      <c r="N432" s="9"/>
      <c r="O432" s="9"/>
      <c r="P432" s="9"/>
      <c r="Q432" s="9"/>
    </row>
    <row r="433" spans="2:17" customFormat="1" hidden="1">
      <c r="B433" s="120" t="s">
        <v>1062</v>
      </c>
      <c r="C433" s="221" t="s">
        <v>1500</v>
      </c>
      <c r="D433" s="120" t="s">
        <v>51</v>
      </c>
      <c r="E433" s="221" t="s">
        <v>58</v>
      </c>
      <c r="F433" s="120">
        <v>753402</v>
      </c>
      <c r="G433" s="120" t="s">
        <v>70</v>
      </c>
      <c r="H433" s="120"/>
      <c r="I433" s="200">
        <v>1</v>
      </c>
      <c r="J433" s="221" t="s">
        <v>1502</v>
      </c>
      <c r="K433" s="122" t="s">
        <v>939</v>
      </c>
      <c r="L433" s="22"/>
      <c r="M433" s="9"/>
      <c r="N433" s="9"/>
      <c r="O433" s="9"/>
      <c r="P433" s="9"/>
      <c r="Q433" s="9"/>
    </row>
    <row r="434" spans="2:17" customFormat="1" hidden="1">
      <c r="B434" s="120" t="s">
        <v>1063</v>
      </c>
      <c r="C434" s="221" t="s">
        <v>1500</v>
      </c>
      <c r="D434" s="120" t="s">
        <v>51</v>
      </c>
      <c r="E434" s="198" t="s">
        <v>550</v>
      </c>
      <c r="F434" s="199">
        <v>753105</v>
      </c>
      <c r="G434" s="199" t="s">
        <v>543</v>
      </c>
      <c r="H434" s="120"/>
      <c r="I434" s="200">
        <v>1</v>
      </c>
      <c r="J434" s="198" t="s">
        <v>1508</v>
      </c>
      <c r="K434" s="357" t="s">
        <v>852</v>
      </c>
      <c r="L434" s="186"/>
      <c r="M434" s="9"/>
      <c r="N434" s="9"/>
      <c r="O434" s="9"/>
      <c r="P434" s="9"/>
      <c r="Q434" s="9"/>
    </row>
    <row r="435" spans="2:17" customFormat="1" hidden="1">
      <c r="B435" s="120" t="s">
        <v>1064</v>
      </c>
      <c r="C435" s="122" t="s">
        <v>1504</v>
      </c>
      <c r="D435" s="8" t="s">
        <v>549</v>
      </c>
      <c r="E435" s="198" t="s">
        <v>114</v>
      </c>
      <c r="F435" s="199">
        <v>514101</v>
      </c>
      <c r="G435" s="199" t="s">
        <v>77</v>
      </c>
      <c r="H435" s="407" t="s">
        <v>2394</v>
      </c>
      <c r="I435" s="200">
        <v>5</v>
      </c>
      <c r="J435" s="358" t="s">
        <v>1501</v>
      </c>
      <c r="K435" s="357" t="s">
        <v>1503</v>
      </c>
      <c r="L435" s="186"/>
      <c r="M435" s="9"/>
      <c r="N435" s="9"/>
      <c r="O435" s="9"/>
      <c r="P435" s="9"/>
      <c r="Q435" s="9"/>
    </row>
    <row r="436" spans="2:17" customFormat="1" hidden="1">
      <c r="B436" s="120" t="s">
        <v>1065</v>
      </c>
      <c r="C436" s="221" t="s">
        <v>1504</v>
      </c>
      <c r="D436" s="219" t="s">
        <v>549</v>
      </c>
      <c r="E436" s="136" t="s">
        <v>87</v>
      </c>
      <c r="F436" s="199">
        <v>741103</v>
      </c>
      <c r="G436" s="199" t="s">
        <v>54</v>
      </c>
      <c r="H436" s="120"/>
      <c r="I436" s="200">
        <v>6</v>
      </c>
      <c r="J436" s="172" t="s">
        <v>1498</v>
      </c>
      <c r="K436" s="357" t="s">
        <v>851</v>
      </c>
      <c r="L436" s="186"/>
      <c r="M436" s="9"/>
      <c r="N436" s="9"/>
      <c r="O436" s="9"/>
      <c r="P436" s="9"/>
      <c r="Q436" s="9"/>
    </row>
    <row r="437" spans="2:17" customFormat="1" hidden="1">
      <c r="B437" s="120" t="s">
        <v>1066</v>
      </c>
      <c r="C437" s="221" t="s">
        <v>1504</v>
      </c>
      <c r="D437" s="219" t="s">
        <v>549</v>
      </c>
      <c r="E437" s="243" t="s">
        <v>553</v>
      </c>
      <c r="F437" s="199">
        <v>813134</v>
      </c>
      <c r="G437" s="199" t="s">
        <v>554</v>
      </c>
      <c r="H437" s="158" t="s">
        <v>2346</v>
      </c>
      <c r="I437" s="200">
        <v>1</v>
      </c>
      <c r="J437" s="141" t="s">
        <v>547</v>
      </c>
      <c r="K437" s="221" t="s">
        <v>41</v>
      </c>
      <c r="L437" s="20"/>
      <c r="M437" s="9"/>
      <c r="N437" s="9"/>
      <c r="O437" s="9"/>
      <c r="P437" s="9"/>
      <c r="Q437" s="9"/>
    </row>
    <row r="438" spans="2:17" customFormat="1" hidden="1">
      <c r="B438" s="120" t="s">
        <v>1067</v>
      </c>
      <c r="C438" s="221" t="s">
        <v>1504</v>
      </c>
      <c r="D438" s="219" t="s">
        <v>549</v>
      </c>
      <c r="E438" s="198" t="s">
        <v>74</v>
      </c>
      <c r="F438" s="199">
        <v>723103</v>
      </c>
      <c r="G438" s="199" t="s">
        <v>75</v>
      </c>
      <c r="H438" s="295" t="s">
        <v>1420</v>
      </c>
      <c r="I438" s="200">
        <v>2</v>
      </c>
      <c r="J438" s="141" t="s">
        <v>109</v>
      </c>
      <c r="K438" s="221" t="s">
        <v>237</v>
      </c>
      <c r="L438" s="20"/>
      <c r="M438" s="9"/>
      <c r="N438" s="9"/>
      <c r="O438" s="9"/>
      <c r="P438" s="9"/>
      <c r="Q438" s="9"/>
    </row>
    <row r="439" spans="2:17" customFormat="1">
      <c r="B439" s="120" t="s">
        <v>1068</v>
      </c>
      <c r="C439" s="221" t="s">
        <v>1504</v>
      </c>
      <c r="D439" s="219" t="s">
        <v>549</v>
      </c>
      <c r="E439" s="321" t="s">
        <v>45</v>
      </c>
      <c r="F439" s="199">
        <v>522301</v>
      </c>
      <c r="G439" s="199" t="s">
        <v>43</v>
      </c>
      <c r="H439" s="295" t="s">
        <v>1421</v>
      </c>
      <c r="I439" s="200">
        <v>3</v>
      </c>
      <c r="J439" s="141" t="s">
        <v>109</v>
      </c>
      <c r="K439" s="221" t="s">
        <v>237</v>
      </c>
      <c r="L439" s="20"/>
      <c r="M439" s="9"/>
      <c r="N439" s="9"/>
      <c r="O439" s="9"/>
      <c r="P439" s="9"/>
      <c r="Q439" s="9"/>
    </row>
    <row r="440" spans="2:17" customFormat="1" hidden="1">
      <c r="B440" s="120" t="s">
        <v>1069</v>
      </c>
      <c r="C440" s="221" t="s">
        <v>1504</v>
      </c>
      <c r="D440" s="219" t="s">
        <v>549</v>
      </c>
      <c r="E440" s="198" t="s">
        <v>206</v>
      </c>
      <c r="F440" s="199">
        <v>722204</v>
      </c>
      <c r="G440" s="199" t="s">
        <v>185</v>
      </c>
      <c r="H440" s="295" t="s">
        <v>1427</v>
      </c>
      <c r="I440" s="200">
        <v>6</v>
      </c>
      <c r="J440" s="141" t="s">
        <v>109</v>
      </c>
      <c r="K440" s="221" t="s">
        <v>237</v>
      </c>
      <c r="L440" s="20"/>
      <c r="M440" s="9"/>
      <c r="N440" s="9"/>
      <c r="O440" s="9"/>
      <c r="P440" s="9"/>
      <c r="Q440" s="9"/>
    </row>
    <row r="441" spans="2:17" customFormat="1" hidden="1">
      <c r="B441" s="120" t="s">
        <v>1070</v>
      </c>
      <c r="C441" s="221" t="s">
        <v>1504</v>
      </c>
      <c r="D441" s="219" t="s">
        <v>549</v>
      </c>
      <c r="E441" s="303" t="s">
        <v>57</v>
      </c>
      <c r="F441" s="199">
        <v>751204</v>
      </c>
      <c r="G441" s="199" t="s">
        <v>68</v>
      </c>
      <c r="H441" s="220" t="s">
        <v>2355</v>
      </c>
      <c r="I441" s="200">
        <v>3</v>
      </c>
      <c r="J441" s="172" t="s">
        <v>1498</v>
      </c>
      <c r="K441" s="357" t="s">
        <v>851</v>
      </c>
      <c r="L441" s="20"/>
      <c r="M441" s="9"/>
      <c r="N441" s="9"/>
      <c r="O441" s="9"/>
      <c r="P441" s="9"/>
      <c r="Q441" s="9"/>
    </row>
    <row r="442" spans="2:17" customFormat="1" hidden="1">
      <c r="B442" s="120" t="s">
        <v>1071</v>
      </c>
      <c r="C442" s="221" t="s">
        <v>1504</v>
      </c>
      <c r="D442" s="219" t="s">
        <v>549</v>
      </c>
      <c r="E442" s="198" t="s">
        <v>55</v>
      </c>
      <c r="F442" s="199">
        <v>343101</v>
      </c>
      <c r="G442" s="199" t="s">
        <v>65</v>
      </c>
      <c r="H442" s="297" t="s">
        <v>1421</v>
      </c>
      <c r="I442" s="200">
        <v>2</v>
      </c>
      <c r="J442" s="358" t="s">
        <v>1501</v>
      </c>
      <c r="K442" s="357" t="s">
        <v>1503</v>
      </c>
      <c r="L442" s="20"/>
      <c r="M442" s="9"/>
      <c r="N442" s="9"/>
      <c r="O442" s="9"/>
      <c r="P442" s="9"/>
      <c r="Q442" s="9"/>
    </row>
    <row r="443" spans="2:17" customFormat="1" hidden="1">
      <c r="B443" s="120" t="s">
        <v>1072</v>
      </c>
      <c r="C443" s="221" t="s">
        <v>1504</v>
      </c>
      <c r="D443" s="219" t="s">
        <v>549</v>
      </c>
      <c r="E443" s="198" t="s">
        <v>1435</v>
      </c>
      <c r="F443" s="199">
        <v>713203</v>
      </c>
      <c r="G443" s="199" t="s">
        <v>66</v>
      </c>
      <c r="H443" s="120"/>
      <c r="I443" s="200">
        <v>1</v>
      </c>
      <c r="J443" s="172" t="s">
        <v>1498</v>
      </c>
      <c r="K443" s="357" t="s">
        <v>851</v>
      </c>
      <c r="L443" s="20"/>
      <c r="M443" s="9"/>
      <c r="N443" s="9"/>
      <c r="O443" s="9"/>
      <c r="P443" s="9"/>
      <c r="Q443" s="9"/>
    </row>
    <row r="444" spans="2:17" customFormat="1" hidden="1">
      <c r="B444" s="120" t="s">
        <v>1073</v>
      </c>
      <c r="C444" s="221" t="s">
        <v>1504</v>
      </c>
      <c r="D444" s="219" t="s">
        <v>549</v>
      </c>
      <c r="E444" s="243" t="s">
        <v>236</v>
      </c>
      <c r="F444" s="199">
        <v>711402</v>
      </c>
      <c r="G444" s="199" t="s">
        <v>854</v>
      </c>
      <c r="H444" s="120" t="s">
        <v>1324</v>
      </c>
      <c r="I444" s="200">
        <v>2</v>
      </c>
      <c r="J444" s="141" t="s">
        <v>547</v>
      </c>
      <c r="K444" s="242" t="s">
        <v>41</v>
      </c>
      <c r="L444" s="20"/>
      <c r="M444" s="9"/>
      <c r="N444" s="9"/>
      <c r="O444" s="9"/>
      <c r="P444" s="9"/>
      <c r="Q444" s="9"/>
    </row>
    <row r="445" spans="2:17" customFormat="1" hidden="1">
      <c r="B445" s="120" t="s">
        <v>1074</v>
      </c>
      <c r="C445" s="122" t="s">
        <v>1505</v>
      </c>
      <c r="D445" s="8" t="s">
        <v>260</v>
      </c>
      <c r="E445" s="198" t="s">
        <v>78</v>
      </c>
      <c r="F445" s="199">
        <v>741203</v>
      </c>
      <c r="G445" s="206" t="s">
        <v>64</v>
      </c>
      <c r="H445" s="349" t="s">
        <v>2396</v>
      </c>
      <c r="I445" s="200">
        <v>15</v>
      </c>
      <c r="J445" s="198" t="s">
        <v>1465</v>
      </c>
      <c r="K445" s="221" t="s">
        <v>105</v>
      </c>
      <c r="L445" s="20"/>
      <c r="M445" s="9"/>
      <c r="N445" s="9"/>
      <c r="O445" s="9"/>
      <c r="P445" s="9"/>
      <c r="Q445" s="9"/>
    </row>
    <row r="446" spans="2:17" customFormat="1" hidden="1">
      <c r="B446" s="120" t="s">
        <v>1075</v>
      </c>
      <c r="C446" s="221" t="s">
        <v>1505</v>
      </c>
      <c r="D446" s="219" t="s">
        <v>260</v>
      </c>
      <c r="E446" s="324" t="s">
        <v>1497</v>
      </c>
      <c r="F446" s="199">
        <v>832201</v>
      </c>
      <c r="G446" s="206" t="s">
        <v>520</v>
      </c>
      <c r="H446" s="120" t="s">
        <v>1324</v>
      </c>
      <c r="I446" s="200">
        <v>7</v>
      </c>
      <c r="J446" s="141" t="s">
        <v>547</v>
      </c>
      <c r="K446" s="221" t="s">
        <v>41</v>
      </c>
      <c r="L446" s="20"/>
      <c r="M446" s="9"/>
      <c r="N446" s="9"/>
      <c r="O446" s="9"/>
      <c r="P446" s="9"/>
      <c r="Q446" s="9"/>
    </row>
    <row r="447" spans="2:17" customFormat="1" hidden="1">
      <c r="B447" s="120" t="s">
        <v>1076</v>
      </c>
      <c r="C447" s="221" t="s">
        <v>1505</v>
      </c>
      <c r="D447" s="219" t="s">
        <v>260</v>
      </c>
      <c r="E447" s="198" t="s">
        <v>1435</v>
      </c>
      <c r="F447" s="199">
        <v>713201</v>
      </c>
      <c r="G447" s="211" t="s">
        <v>66</v>
      </c>
      <c r="H447" s="120" t="s">
        <v>1327</v>
      </c>
      <c r="I447" s="200">
        <v>7</v>
      </c>
      <c r="J447" s="141" t="s">
        <v>547</v>
      </c>
      <c r="K447" s="221" t="s">
        <v>41</v>
      </c>
      <c r="L447" s="186"/>
      <c r="M447" s="9"/>
      <c r="N447" s="9"/>
      <c r="O447" s="9"/>
      <c r="P447" s="9"/>
      <c r="Q447" s="9"/>
    </row>
    <row r="448" spans="2:17" customFormat="1" hidden="1">
      <c r="B448" s="120" t="s">
        <v>1077</v>
      </c>
      <c r="C448" s="221" t="s">
        <v>1505</v>
      </c>
      <c r="D448" s="219" t="s">
        <v>260</v>
      </c>
      <c r="E448" s="198" t="s">
        <v>1506</v>
      </c>
      <c r="F448" s="199">
        <v>814209</v>
      </c>
      <c r="G448" s="206" t="s">
        <v>856</v>
      </c>
      <c r="H448" s="120"/>
      <c r="I448" s="342">
        <v>4</v>
      </c>
      <c r="J448" s="351" t="s">
        <v>1498</v>
      </c>
      <c r="K448" s="274" t="s">
        <v>851</v>
      </c>
      <c r="L448" s="187"/>
      <c r="M448" s="9"/>
      <c r="N448" s="9"/>
      <c r="O448" s="9"/>
      <c r="P448" s="9"/>
      <c r="Q448" s="9"/>
    </row>
    <row r="449" spans="2:17" hidden="1">
      <c r="B449" s="120" t="s">
        <v>1078</v>
      </c>
      <c r="C449" s="207" t="s">
        <v>1505</v>
      </c>
      <c r="D449" s="120" t="s">
        <v>260</v>
      </c>
      <c r="E449" s="198" t="s">
        <v>103</v>
      </c>
      <c r="F449" s="199">
        <v>722307</v>
      </c>
      <c r="G449" s="206" t="s">
        <v>83</v>
      </c>
      <c r="H449" s="120" t="s">
        <v>2346</v>
      </c>
      <c r="I449" s="137">
        <v>4</v>
      </c>
      <c r="J449" s="141" t="s">
        <v>547</v>
      </c>
      <c r="K449" s="221" t="s">
        <v>41</v>
      </c>
      <c r="L449" s="186"/>
      <c r="M449" s="195"/>
      <c r="N449" s="195"/>
      <c r="O449" s="195"/>
      <c r="P449" s="195"/>
      <c r="Q449" s="195"/>
    </row>
    <row r="450" spans="2:17" customFormat="1" hidden="1">
      <c r="B450" s="120" t="s">
        <v>1079</v>
      </c>
      <c r="C450" s="221" t="s">
        <v>210</v>
      </c>
      <c r="D450" s="8" t="s">
        <v>211</v>
      </c>
      <c r="E450" s="136" t="s">
        <v>87</v>
      </c>
      <c r="F450" s="199">
        <v>741103</v>
      </c>
      <c r="G450" s="240" t="s">
        <v>54</v>
      </c>
      <c r="H450" s="348" t="s">
        <v>2248</v>
      </c>
      <c r="I450" s="200">
        <v>3</v>
      </c>
      <c r="J450" s="172" t="s">
        <v>117</v>
      </c>
      <c r="K450" s="221" t="s">
        <v>943</v>
      </c>
      <c r="L450" s="186"/>
      <c r="M450" s="9"/>
      <c r="N450" s="9"/>
      <c r="O450" s="9"/>
      <c r="P450" s="9"/>
      <c r="Q450" s="9"/>
    </row>
    <row r="451" spans="2:17" customFormat="1" hidden="1">
      <c r="B451" s="120" t="s">
        <v>1080</v>
      </c>
      <c r="C451" s="221" t="s">
        <v>210</v>
      </c>
      <c r="D451" s="219" t="s">
        <v>211</v>
      </c>
      <c r="E451" s="198" t="s">
        <v>36</v>
      </c>
      <c r="F451" s="199">
        <v>514101</v>
      </c>
      <c r="G451" s="240" t="s">
        <v>77</v>
      </c>
      <c r="H451" s="120" t="s">
        <v>2357</v>
      </c>
      <c r="I451" s="200">
        <v>6</v>
      </c>
      <c r="J451" s="172" t="s">
        <v>117</v>
      </c>
      <c r="K451" s="221" t="s">
        <v>943</v>
      </c>
      <c r="L451" s="186"/>
      <c r="M451" s="9"/>
      <c r="N451" s="9"/>
      <c r="O451" s="9"/>
      <c r="P451" s="9"/>
      <c r="Q451" s="9"/>
    </row>
    <row r="452" spans="2:17" customFormat="1" hidden="1">
      <c r="B452" s="120" t="s">
        <v>1081</v>
      </c>
      <c r="C452" s="221" t="s">
        <v>210</v>
      </c>
      <c r="D452" s="219" t="s">
        <v>211</v>
      </c>
      <c r="E452" s="198" t="s">
        <v>550</v>
      </c>
      <c r="F452" s="199">
        <v>753105</v>
      </c>
      <c r="G452" s="240" t="s">
        <v>543</v>
      </c>
      <c r="H452" s="120"/>
      <c r="I452" s="200">
        <v>1</v>
      </c>
      <c r="J452" s="198" t="s">
        <v>1508</v>
      </c>
      <c r="K452" s="122" t="s">
        <v>852</v>
      </c>
      <c r="L452" s="186"/>
      <c r="M452" s="9"/>
      <c r="N452" s="9"/>
      <c r="O452" s="9"/>
      <c r="P452" s="9"/>
      <c r="Q452" s="9"/>
    </row>
    <row r="453" spans="2:17" customFormat="1" hidden="1">
      <c r="B453" s="120" t="s">
        <v>1082</v>
      </c>
      <c r="C453" s="221" t="s">
        <v>210</v>
      </c>
      <c r="D453" s="219" t="s">
        <v>211</v>
      </c>
      <c r="E453" s="198" t="s">
        <v>44</v>
      </c>
      <c r="F453" s="199">
        <v>512001</v>
      </c>
      <c r="G453" s="240" t="s">
        <v>81</v>
      </c>
      <c r="H453" s="348" t="s">
        <v>2338</v>
      </c>
      <c r="I453" s="200">
        <v>1</v>
      </c>
      <c r="J453" s="172" t="s">
        <v>117</v>
      </c>
      <c r="K453" s="221" t="s">
        <v>943</v>
      </c>
      <c r="L453" s="188"/>
      <c r="M453" s="9"/>
      <c r="N453" s="9"/>
      <c r="O453" s="9"/>
      <c r="P453" s="9"/>
      <c r="Q453" s="9"/>
    </row>
    <row r="454" spans="2:17" customFormat="1" hidden="1">
      <c r="B454" s="120" t="s">
        <v>1083</v>
      </c>
      <c r="C454" s="221" t="s">
        <v>210</v>
      </c>
      <c r="D454" s="219" t="s">
        <v>211</v>
      </c>
      <c r="E454" s="198" t="s">
        <v>34</v>
      </c>
      <c r="F454" s="199">
        <v>723103</v>
      </c>
      <c r="G454" s="240" t="s">
        <v>75</v>
      </c>
      <c r="H454" s="120" t="s">
        <v>2357</v>
      </c>
      <c r="I454" s="200">
        <v>1</v>
      </c>
      <c r="J454" s="172" t="s">
        <v>117</v>
      </c>
      <c r="K454" s="221" t="s">
        <v>943</v>
      </c>
      <c r="L454" s="188"/>
      <c r="M454" s="9"/>
      <c r="N454" s="9"/>
      <c r="O454" s="9"/>
      <c r="P454" s="9"/>
      <c r="Q454" s="9"/>
    </row>
    <row r="455" spans="2:17" customFormat="1" hidden="1">
      <c r="B455" s="120" t="s">
        <v>1084</v>
      </c>
      <c r="C455" s="221" t="s">
        <v>210</v>
      </c>
      <c r="D455" s="219" t="s">
        <v>211</v>
      </c>
      <c r="E455" s="243" t="s">
        <v>533</v>
      </c>
      <c r="F455" s="199">
        <v>723310</v>
      </c>
      <c r="G455" s="240" t="s">
        <v>282</v>
      </c>
      <c r="H455" s="120" t="s">
        <v>1324</v>
      </c>
      <c r="I455" s="317">
        <v>0</v>
      </c>
      <c r="J455" s="141" t="s">
        <v>547</v>
      </c>
      <c r="K455" s="242" t="s">
        <v>41</v>
      </c>
      <c r="L455" s="188"/>
      <c r="M455" s="42"/>
      <c r="N455" s="9"/>
      <c r="O455" s="9"/>
      <c r="P455" s="9"/>
      <c r="Q455" s="9"/>
    </row>
    <row r="456" spans="2:17" customFormat="1" ht="15.75" hidden="1">
      <c r="B456" s="120" t="s">
        <v>1085</v>
      </c>
      <c r="C456" s="221" t="s">
        <v>210</v>
      </c>
      <c r="D456" s="219" t="s">
        <v>211</v>
      </c>
      <c r="E456" s="198" t="s">
        <v>198</v>
      </c>
      <c r="F456" s="199">
        <v>712618</v>
      </c>
      <c r="G456" s="240" t="s">
        <v>86</v>
      </c>
      <c r="H456" s="120" t="s">
        <v>2413</v>
      </c>
      <c r="I456" s="200">
        <v>2</v>
      </c>
      <c r="J456" s="172" t="s">
        <v>117</v>
      </c>
      <c r="K456" s="221" t="s">
        <v>943</v>
      </c>
      <c r="L456" s="189"/>
      <c r="M456" s="42"/>
      <c r="N456" s="9"/>
      <c r="O456" s="9"/>
      <c r="P456" s="9"/>
      <c r="Q456" s="9"/>
    </row>
    <row r="457" spans="2:17" customFormat="1" ht="15.75">
      <c r="B457" s="120" t="s">
        <v>1086</v>
      </c>
      <c r="C457" s="221" t="s">
        <v>210</v>
      </c>
      <c r="D457" s="219" t="s">
        <v>211</v>
      </c>
      <c r="E457" s="321" t="s">
        <v>45</v>
      </c>
      <c r="F457" s="199">
        <v>522301</v>
      </c>
      <c r="G457" s="240" t="s">
        <v>43</v>
      </c>
      <c r="H457" s="348" t="s">
        <v>2338</v>
      </c>
      <c r="I457" s="200">
        <v>2</v>
      </c>
      <c r="J457" s="172" t="s">
        <v>117</v>
      </c>
      <c r="K457" s="221" t="s">
        <v>943</v>
      </c>
      <c r="L457" s="189"/>
      <c r="M457" s="42"/>
      <c r="N457" s="9"/>
      <c r="O457" s="9"/>
      <c r="P457" s="9"/>
      <c r="Q457" s="9"/>
    </row>
    <row r="458" spans="2:17" customFormat="1" ht="15.75" hidden="1">
      <c r="B458" s="120" t="s">
        <v>1087</v>
      </c>
      <c r="C458" s="221" t="s">
        <v>210</v>
      </c>
      <c r="D458" s="219" t="s">
        <v>211</v>
      </c>
      <c r="E458" s="198" t="s">
        <v>33</v>
      </c>
      <c r="F458" s="199">
        <v>752205</v>
      </c>
      <c r="G458" s="240" t="s">
        <v>69</v>
      </c>
      <c r="H458" s="120" t="s">
        <v>2357</v>
      </c>
      <c r="I458" s="200">
        <v>8</v>
      </c>
      <c r="J458" s="172" t="s">
        <v>117</v>
      </c>
      <c r="K458" s="221" t="s">
        <v>943</v>
      </c>
      <c r="L458" s="189"/>
      <c r="M458" s="42"/>
      <c r="N458" s="9"/>
      <c r="O458" s="9"/>
      <c r="P458" s="9"/>
      <c r="Q458" s="9"/>
    </row>
    <row r="459" spans="2:17" customFormat="1" hidden="1">
      <c r="B459" s="120" t="s">
        <v>1088</v>
      </c>
      <c r="C459" s="221" t="s">
        <v>210</v>
      </c>
      <c r="D459" s="219" t="s">
        <v>211</v>
      </c>
      <c r="E459" s="198" t="s">
        <v>1507</v>
      </c>
      <c r="F459" s="199">
        <v>753402</v>
      </c>
      <c r="G459" s="240" t="s">
        <v>70</v>
      </c>
      <c r="H459" s="120" t="s">
        <v>2357</v>
      </c>
      <c r="I459" s="200">
        <v>11</v>
      </c>
      <c r="J459" s="172" t="s">
        <v>117</v>
      </c>
      <c r="K459" s="221" t="s">
        <v>943</v>
      </c>
      <c r="L459" s="188"/>
      <c r="M459" s="42"/>
      <c r="N459" s="9"/>
      <c r="O459" s="9"/>
      <c r="P459" s="9"/>
      <c r="Q459" s="9"/>
    </row>
    <row r="460" spans="2:17" customFormat="1" hidden="1">
      <c r="B460" s="120" t="s">
        <v>1089</v>
      </c>
      <c r="C460" s="221" t="s">
        <v>1509</v>
      </c>
      <c r="D460" s="8" t="s">
        <v>192</v>
      </c>
      <c r="E460" s="198" t="s">
        <v>44</v>
      </c>
      <c r="F460" s="199">
        <v>512001</v>
      </c>
      <c r="G460" s="199" t="s">
        <v>81</v>
      </c>
      <c r="H460" s="120" t="s">
        <v>1350</v>
      </c>
      <c r="I460" s="200">
        <v>4</v>
      </c>
      <c r="J460" s="198" t="s">
        <v>1465</v>
      </c>
      <c r="K460" s="122" t="s">
        <v>105</v>
      </c>
      <c r="L460" s="188"/>
      <c r="M460" s="42"/>
      <c r="N460" s="9"/>
      <c r="O460" s="9"/>
      <c r="P460" s="9"/>
      <c r="Q460" s="9"/>
    </row>
    <row r="461" spans="2:17" customFormat="1" hidden="1">
      <c r="B461" s="120" t="s">
        <v>1090</v>
      </c>
      <c r="C461" s="221" t="s">
        <v>1509</v>
      </c>
      <c r="D461" s="219" t="s">
        <v>192</v>
      </c>
      <c r="E461" s="198" t="s">
        <v>34</v>
      </c>
      <c r="F461" s="199">
        <v>723103</v>
      </c>
      <c r="G461" s="199" t="s">
        <v>75</v>
      </c>
      <c r="H461" s="183" t="s">
        <v>1342</v>
      </c>
      <c r="I461" s="200">
        <v>11</v>
      </c>
      <c r="J461" s="7" t="s">
        <v>1510</v>
      </c>
      <c r="K461" s="122" t="s">
        <v>945</v>
      </c>
      <c r="L461" s="188"/>
      <c r="M461" s="42"/>
      <c r="N461" s="9"/>
      <c r="O461" s="9"/>
      <c r="P461" s="9"/>
      <c r="Q461" s="9"/>
    </row>
    <row r="462" spans="2:17" customFormat="1" hidden="1">
      <c r="B462" s="120" t="s">
        <v>1091</v>
      </c>
      <c r="C462" s="221" t="s">
        <v>1509</v>
      </c>
      <c r="D462" s="219" t="s">
        <v>192</v>
      </c>
      <c r="E462" s="198" t="s">
        <v>36</v>
      </c>
      <c r="F462" s="199">
        <v>514101</v>
      </c>
      <c r="G462" s="199" t="s">
        <v>77</v>
      </c>
      <c r="H462" s="183" t="s">
        <v>1342</v>
      </c>
      <c r="I462" s="200">
        <v>8</v>
      </c>
      <c r="J462" s="198" t="s">
        <v>1510</v>
      </c>
      <c r="K462" s="122" t="s">
        <v>945</v>
      </c>
      <c r="L462" s="190"/>
      <c r="M462" s="42"/>
      <c r="N462" s="9"/>
      <c r="O462" s="9"/>
      <c r="P462" s="9"/>
      <c r="Q462" s="9"/>
    </row>
    <row r="463" spans="2:17" customFormat="1" hidden="1">
      <c r="B463" s="120" t="s">
        <v>1092</v>
      </c>
      <c r="C463" s="221" t="s">
        <v>1509</v>
      </c>
      <c r="D463" s="219" t="s">
        <v>192</v>
      </c>
      <c r="E463" s="198" t="s">
        <v>37</v>
      </c>
      <c r="F463" s="199">
        <v>751204</v>
      </c>
      <c r="G463" s="239" t="s">
        <v>183</v>
      </c>
      <c r="H463" s="120" t="s">
        <v>2394</v>
      </c>
      <c r="I463" s="200">
        <v>1</v>
      </c>
      <c r="J463" s="198" t="s">
        <v>1465</v>
      </c>
      <c r="K463" s="221" t="s">
        <v>105</v>
      </c>
      <c r="L463" s="190"/>
      <c r="M463" s="42"/>
      <c r="N463" s="9"/>
      <c r="O463" s="9"/>
      <c r="P463" s="9"/>
      <c r="Q463" s="9"/>
    </row>
    <row r="464" spans="2:17" customFormat="1">
      <c r="B464" s="120" t="s">
        <v>1093</v>
      </c>
      <c r="C464" s="221" t="s">
        <v>1509</v>
      </c>
      <c r="D464" s="219" t="s">
        <v>192</v>
      </c>
      <c r="E464" s="321" t="s">
        <v>45</v>
      </c>
      <c r="F464" s="199">
        <v>522301</v>
      </c>
      <c r="G464" s="199" t="s">
        <v>43</v>
      </c>
      <c r="H464" s="120" t="s">
        <v>1349</v>
      </c>
      <c r="I464" s="200">
        <v>3</v>
      </c>
      <c r="J464" s="198" t="s">
        <v>1465</v>
      </c>
      <c r="K464" s="221" t="s">
        <v>105</v>
      </c>
      <c r="L464" s="190"/>
      <c r="M464" s="9"/>
      <c r="N464" s="9"/>
      <c r="O464" s="9"/>
      <c r="P464" s="9"/>
      <c r="Q464" s="9"/>
    </row>
    <row r="465" spans="2:17" customFormat="1" hidden="1">
      <c r="B465" s="120" t="s">
        <v>1094</v>
      </c>
      <c r="C465" s="221" t="s">
        <v>1509</v>
      </c>
      <c r="D465" s="219" t="s">
        <v>192</v>
      </c>
      <c r="E465" s="198" t="s">
        <v>198</v>
      </c>
      <c r="F465" s="199">
        <v>712618</v>
      </c>
      <c r="G465" s="199" t="s">
        <v>86</v>
      </c>
      <c r="H465" s="115" t="s">
        <v>1348</v>
      </c>
      <c r="I465" s="200">
        <v>3</v>
      </c>
      <c r="J465" s="198" t="s">
        <v>1465</v>
      </c>
      <c r="K465" s="221" t="s">
        <v>105</v>
      </c>
      <c r="L465" s="190"/>
      <c r="M465" s="9"/>
      <c r="N465" s="9"/>
      <c r="O465" s="9"/>
      <c r="P465" s="9"/>
      <c r="Q465" s="9"/>
    </row>
    <row r="466" spans="2:17" customFormat="1" hidden="1">
      <c r="B466" s="120" t="s">
        <v>1095</v>
      </c>
      <c r="C466" s="221" t="s">
        <v>1509</v>
      </c>
      <c r="D466" s="219" t="s">
        <v>192</v>
      </c>
      <c r="E466" s="198" t="s">
        <v>193</v>
      </c>
      <c r="F466" s="199">
        <v>962907</v>
      </c>
      <c r="G466" s="199" t="s">
        <v>194</v>
      </c>
      <c r="H466" s="183" t="s">
        <v>2252</v>
      </c>
      <c r="I466" s="200">
        <v>4</v>
      </c>
      <c r="J466" s="172" t="s">
        <v>1174</v>
      </c>
      <c r="K466" s="122" t="s">
        <v>849</v>
      </c>
      <c r="L466" s="190"/>
      <c r="M466" s="9"/>
      <c r="N466" s="9"/>
      <c r="O466" s="9"/>
      <c r="P466" s="9"/>
      <c r="Q466" s="9"/>
    </row>
    <row r="467" spans="2:17" customFormat="1" hidden="1">
      <c r="B467" s="120" t="s">
        <v>1096</v>
      </c>
      <c r="C467" s="221" t="s">
        <v>1509</v>
      </c>
      <c r="D467" s="219" t="s">
        <v>192</v>
      </c>
      <c r="E467" s="303" t="s">
        <v>57</v>
      </c>
      <c r="F467" s="199">
        <v>751204</v>
      </c>
      <c r="G467" s="199" t="s">
        <v>68</v>
      </c>
      <c r="H467" s="120" t="s">
        <v>2396</v>
      </c>
      <c r="I467" s="200">
        <v>1</v>
      </c>
      <c r="J467" s="198" t="s">
        <v>1465</v>
      </c>
      <c r="K467" s="122" t="s">
        <v>105</v>
      </c>
      <c r="L467" s="190"/>
      <c r="M467" s="9"/>
      <c r="N467" s="9"/>
      <c r="O467" s="9"/>
      <c r="P467" s="9"/>
      <c r="Q467" s="9"/>
    </row>
    <row r="468" spans="2:17" customFormat="1" hidden="1">
      <c r="B468" s="120" t="s">
        <v>1097</v>
      </c>
      <c r="C468" s="221" t="s">
        <v>1509</v>
      </c>
      <c r="D468" s="219" t="s">
        <v>192</v>
      </c>
      <c r="E468" s="243" t="s">
        <v>56</v>
      </c>
      <c r="F468" s="199">
        <v>712905</v>
      </c>
      <c r="G468" s="199" t="s">
        <v>67</v>
      </c>
      <c r="H468" s="158" t="s">
        <v>1320</v>
      </c>
      <c r="I468" s="200">
        <v>1</v>
      </c>
      <c r="J468" s="141" t="s">
        <v>547</v>
      </c>
      <c r="K468" s="221" t="s">
        <v>41</v>
      </c>
      <c r="L468" s="190"/>
      <c r="M468" s="9"/>
      <c r="N468" s="9"/>
      <c r="O468" s="9"/>
      <c r="P468" s="9"/>
      <c r="Q468" s="9"/>
    </row>
    <row r="469" spans="2:17" customFormat="1" hidden="1">
      <c r="B469" s="120" t="s">
        <v>1098</v>
      </c>
      <c r="C469" s="221" t="s">
        <v>1511</v>
      </c>
      <c r="D469" s="8" t="s">
        <v>140</v>
      </c>
      <c r="E469" s="198" t="s">
        <v>44</v>
      </c>
      <c r="F469" s="57">
        <v>512001</v>
      </c>
      <c r="G469" s="206" t="s">
        <v>81</v>
      </c>
      <c r="H469" s="120"/>
      <c r="I469" s="200">
        <v>5</v>
      </c>
      <c r="J469" s="238" t="s">
        <v>1512</v>
      </c>
      <c r="K469" s="122" t="s">
        <v>1514</v>
      </c>
      <c r="L469" s="190"/>
      <c r="M469" s="9"/>
      <c r="N469" s="9"/>
      <c r="O469" s="9"/>
      <c r="P469" s="9"/>
      <c r="Q469" s="9"/>
    </row>
    <row r="470" spans="2:17" customFormat="1" hidden="1">
      <c r="B470" s="120" t="s">
        <v>1099</v>
      </c>
      <c r="C470" s="221" t="s">
        <v>1511</v>
      </c>
      <c r="D470" s="219" t="s">
        <v>140</v>
      </c>
      <c r="E470" s="198" t="s">
        <v>37</v>
      </c>
      <c r="F470" s="199">
        <v>751204</v>
      </c>
      <c r="G470" s="206" t="s">
        <v>183</v>
      </c>
      <c r="H470" s="120"/>
      <c r="I470" s="200">
        <v>1</v>
      </c>
      <c r="J470" s="238" t="s">
        <v>1512</v>
      </c>
      <c r="K470" s="221" t="s">
        <v>1514</v>
      </c>
      <c r="L470" s="190"/>
      <c r="M470" s="9"/>
      <c r="N470" s="9"/>
      <c r="O470" s="9"/>
      <c r="P470" s="9"/>
      <c r="Q470" s="9"/>
    </row>
    <row r="471" spans="2:17" customFormat="1" hidden="1">
      <c r="B471" s="120" t="s">
        <v>1100</v>
      </c>
      <c r="C471" s="221" t="s">
        <v>1511</v>
      </c>
      <c r="D471" s="219" t="s">
        <v>140</v>
      </c>
      <c r="E471" s="198" t="s">
        <v>1435</v>
      </c>
      <c r="F471" s="199">
        <v>713203</v>
      </c>
      <c r="G471" s="199" t="s">
        <v>66</v>
      </c>
      <c r="H471" s="120"/>
      <c r="I471" s="200">
        <v>1</v>
      </c>
      <c r="J471" s="238" t="s">
        <v>1512</v>
      </c>
      <c r="K471" s="274" t="s">
        <v>1514</v>
      </c>
      <c r="L471" s="188"/>
      <c r="M471" s="9"/>
      <c r="N471" s="9"/>
      <c r="O471" s="9"/>
      <c r="P471" s="9"/>
      <c r="Q471" s="9"/>
    </row>
    <row r="472" spans="2:17" customFormat="1" hidden="1">
      <c r="B472" s="120" t="s">
        <v>1101</v>
      </c>
      <c r="C472" s="221" t="s">
        <v>1511</v>
      </c>
      <c r="D472" s="219" t="s">
        <v>140</v>
      </c>
      <c r="E472" s="198" t="s">
        <v>34</v>
      </c>
      <c r="F472" s="199">
        <v>723103</v>
      </c>
      <c r="G472" s="241" t="s">
        <v>75</v>
      </c>
      <c r="H472" s="134"/>
      <c r="I472" s="200">
        <v>1</v>
      </c>
      <c r="J472" s="238" t="s">
        <v>1512</v>
      </c>
      <c r="K472" s="221" t="s">
        <v>1514</v>
      </c>
      <c r="L472" s="188"/>
      <c r="M472" s="9"/>
      <c r="N472" s="9"/>
      <c r="O472" s="9"/>
      <c r="P472" s="9"/>
      <c r="Q472" s="9"/>
    </row>
    <row r="473" spans="2:17" customFormat="1" hidden="1">
      <c r="B473" s="120" t="s">
        <v>1102</v>
      </c>
      <c r="C473" s="221" t="s">
        <v>1511</v>
      </c>
      <c r="D473" s="219" t="s">
        <v>140</v>
      </c>
      <c r="E473" s="198" t="s">
        <v>206</v>
      </c>
      <c r="F473" s="199">
        <v>722204</v>
      </c>
      <c r="G473" s="199" t="s">
        <v>185</v>
      </c>
      <c r="H473" s="134"/>
      <c r="I473" s="200">
        <v>2</v>
      </c>
      <c r="J473" s="238" t="s">
        <v>1512</v>
      </c>
      <c r="K473" s="221" t="s">
        <v>1514</v>
      </c>
      <c r="L473" s="188"/>
      <c r="M473" s="9"/>
      <c r="N473" s="9"/>
      <c r="O473" s="9"/>
      <c r="P473" s="9"/>
      <c r="Q473" s="9"/>
    </row>
    <row r="474" spans="2:17" customFormat="1" hidden="1">
      <c r="B474" s="120" t="s">
        <v>1103</v>
      </c>
      <c r="C474" s="221" t="s">
        <v>1511</v>
      </c>
      <c r="D474" s="219" t="s">
        <v>140</v>
      </c>
      <c r="E474" s="331" t="s">
        <v>1521</v>
      </c>
      <c r="F474" s="199">
        <v>741201</v>
      </c>
      <c r="G474" s="199" t="s">
        <v>182</v>
      </c>
      <c r="H474" s="134"/>
      <c r="I474" s="153">
        <v>1</v>
      </c>
      <c r="J474" s="172" t="s">
        <v>1498</v>
      </c>
      <c r="K474" s="221" t="s">
        <v>851</v>
      </c>
      <c r="L474" s="188"/>
      <c r="M474" s="9"/>
      <c r="N474" s="9"/>
      <c r="O474" s="9"/>
      <c r="P474" s="9"/>
      <c r="Q474" s="9"/>
    </row>
    <row r="475" spans="2:17" customFormat="1" hidden="1">
      <c r="B475" s="120" t="s">
        <v>1104</v>
      </c>
      <c r="C475" s="122" t="s">
        <v>2314</v>
      </c>
      <c r="D475" s="8" t="s">
        <v>174</v>
      </c>
      <c r="E475" s="198" t="s">
        <v>39</v>
      </c>
      <c r="F475" s="120">
        <v>711204</v>
      </c>
      <c r="G475" s="120" t="s">
        <v>106</v>
      </c>
      <c r="H475" s="120" t="s">
        <v>2396</v>
      </c>
      <c r="I475" s="153">
        <v>5</v>
      </c>
      <c r="J475" s="198" t="s">
        <v>1465</v>
      </c>
      <c r="K475" s="221" t="s">
        <v>105</v>
      </c>
      <c r="L475" s="188"/>
      <c r="M475" s="9"/>
      <c r="N475" s="9"/>
      <c r="O475" s="9"/>
      <c r="P475" s="9"/>
      <c r="Q475" s="9"/>
    </row>
    <row r="476" spans="2:17" customFormat="1" hidden="1">
      <c r="B476" s="120" t="s">
        <v>1105</v>
      </c>
      <c r="C476" s="221" t="s">
        <v>2314</v>
      </c>
      <c r="D476" s="219" t="s">
        <v>174</v>
      </c>
      <c r="E476" s="198" t="s">
        <v>78</v>
      </c>
      <c r="F476" s="225">
        <v>741203</v>
      </c>
      <c r="G476" s="353" t="s">
        <v>64</v>
      </c>
      <c r="H476" s="349" t="s">
        <v>2396</v>
      </c>
      <c r="I476" s="355">
        <v>1</v>
      </c>
      <c r="J476" s="198" t="s">
        <v>1465</v>
      </c>
      <c r="K476" s="221" t="s">
        <v>105</v>
      </c>
      <c r="L476" s="188"/>
      <c r="M476" s="286"/>
      <c r="N476" s="286"/>
      <c r="O476" s="286"/>
      <c r="P476" s="286"/>
      <c r="Q476" s="286"/>
    </row>
    <row r="477" spans="2:17" customFormat="1" hidden="1">
      <c r="B477" s="120" t="s">
        <v>1106</v>
      </c>
      <c r="C477" s="221" t="s">
        <v>2314</v>
      </c>
      <c r="D477" s="219" t="s">
        <v>174</v>
      </c>
      <c r="E477" s="198" t="s">
        <v>33</v>
      </c>
      <c r="F477" s="199">
        <v>752205</v>
      </c>
      <c r="G477" s="354" t="s">
        <v>69</v>
      </c>
      <c r="H477" s="120" t="s">
        <v>1348</v>
      </c>
      <c r="I477" s="355">
        <v>1</v>
      </c>
      <c r="J477" s="198" t="s">
        <v>1465</v>
      </c>
      <c r="K477" s="221" t="s">
        <v>105</v>
      </c>
      <c r="L477" s="188"/>
      <c r="M477" s="286"/>
      <c r="N477" s="286"/>
      <c r="O477" s="286"/>
      <c r="P477" s="286"/>
      <c r="Q477" s="286"/>
    </row>
    <row r="478" spans="2:17" customFormat="1" hidden="1">
      <c r="B478" s="120" t="s">
        <v>1107</v>
      </c>
      <c r="C478" s="221" t="s">
        <v>2314</v>
      </c>
      <c r="D478" s="219" t="s">
        <v>174</v>
      </c>
      <c r="E478" s="273" t="s">
        <v>577</v>
      </c>
      <c r="F478" s="356">
        <v>514101</v>
      </c>
      <c r="G478" s="356" t="s">
        <v>77</v>
      </c>
      <c r="H478" s="295" t="s">
        <v>2282</v>
      </c>
      <c r="I478" s="346">
        <v>2</v>
      </c>
      <c r="J478" s="7" t="s">
        <v>1485</v>
      </c>
      <c r="K478" s="221" t="s">
        <v>35</v>
      </c>
      <c r="L478" s="188"/>
      <c r="M478" s="286"/>
      <c r="N478" s="286"/>
      <c r="O478" s="286"/>
      <c r="P478" s="286"/>
      <c r="Q478" s="286"/>
    </row>
    <row r="479" spans="2:17" customFormat="1" hidden="1">
      <c r="B479" s="120" t="s">
        <v>1108</v>
      </c>
      <c r="C479" s="221" t="s">
        <v>2314</v>
      </c>
      <c r="D479" s="219" t="s">
        <v>174</v>
      </c>
      <c r="E479" s="273" t="s">
        <v>34</v>
      </c>
      <c r="F479" s="356">
        <v>723103</v>
      </c>
      <c r="G479" s="356" t="s">
        <v>75</v>
      </c>
      <c r="H479" s="295" t="s">
        <v>2281</v>
      </c>
      <c r="I479" s="346">
        <v>7</v>
      </c>
      <c r="J479" s="7" t="s">
        <v>1485</v>
      </c>
      <c r="K479" s="221" t="s">
        <v>35</v>
      </c>
      <c r="L479" s="188"/>
      <c r="M479" s="286"/>
      <c r="N479" s="286"/>
      <c r="O479" s="286"/>
      <c r="P479" s="286"/>
      <c r="Q479" s="286"/>
    </row>
    <row r="480" spans="2:17" customFormat="1" hidden="1">
      <c r="B480" s="120" t="s">
        <v>1109</v>
      </c>
      <c r="C480" s="221" t="s">
        <v>2314</v>
      </c>
      <c r="D480" s="219" t="s">
        <v>174</v>
      </c>
      <c r="E480" s="273" t="s">
        <v>44</v>
      </c>
      <c r="F480" s="356">
        <v>512001</v>
      </c>
      <c r="G480" s="356" t="s">
        <v>81</v>
      </c>
      <c r="H480" s="295" t="s">
        <v>2282</v>
      </c>
      <c r="I480" s="346">
        <v>3</v>
      </c>
      <c r="J480" s="7" t="s">
        <v>1485</v>
      </c>
      <c r="K480" s="221" t="s">
        <v>35</v>
      </c>
      <c r="L480" s="188"/>
      <c r="M480" s="286"/>
      <c r="N480" s="286"/>
      <c r="O480" s="286"/>
      <c r="P480" s="286"/>
      <c r="Q480" s="286"/>
    </row>
    <row r="481" spans="2:17" customFormat="1">
      <c r="B481" s="120" t="s">
        <v>1110</v>
      </c>
      <c r="C481" s="221" t="s">
        <v>2314</v>
      </c>
      <c r="D481" s="219" t="s">
        <v>174</v>
      </c>
      <c r="E481" s="273" t="s">
        <v>2332</v>
      </c>
      <c r="F481" s="356">
        <v>522301</v>
      </c>
      <c r="G481" s="356" t="s">
        <v>43</v>
      </c>
      <c r="H481" s="295" t="s">
        <v>1342</v>
      </c>
      <c r="I481" s="346">
        <v>4</v>
      </c>
      <c r="J481" s="7" t="s">
        <v>1485</v>
      </c>
      <c r="K481" s="221" t="s">
        <v>35</v>
      </c>
      <c r="L481" s="188"/>
      <c r="M481" s="286"/>
      <c r="N481" s="286"/>
      <c r="O481" s="286"/>
      <c r="P481" s="286"/>
      <c r="Q481" s="286"/>
    </row>
    <row r="482" spans="2:17" customFormat="1" hidden="1">
      <c r="B482" s="120" t="s">
        <v>1111</v>
      </c>
      <c r="C482" s="122" t="s">
        <v>2315</v>
      </c>
      <c r="D482" s="8" t="s">
        <v>935</v>
      </c>
      <c r="E482" s="221" t="s">
        <v>1435</v>
      </c>
      <c r="F482" s="199">
        <v>713201</v>
      </c>
      <c r="G482" s="211" t="s">
        <v>66</v>
      </c>
      <c r="H482" s="349" t="s">
        <v>2396</v>
      </c>
      <c r="I482" s="153">
        <v>2</v>
      </c>
      <c r="J482" s="198" t="s">
        <v>1465</v>
      </c>
      <c r="K482" s="121" t="s">
        <v>105</v>
      </c>
      <c r="L482" s="188"/>
      <c r="M482" s="9"/>
      <c r="N482" s="9"/>
      <c r="O482" s="9"/>
      <c r="P482" s="9"/>
      <c r="Q482" s="9"/>
    </row>
    <row r="483" spans="2:17" customFormat="1" hidden="1">
      <c r="B483" s="120" t="s">
        <v>1112</v>
      </c>
      <c r="C483" s="221" t="s">
        <v>2315</v>
      </c>
      <c r="D483" s="219" t="s">
        <v>935</v>
      </c>
      <c r="E483" s="303" t="s">
        <v>57</v>
      </c>
      <c r="F483" s="199">
        <v>751204</v>
      </c>
      <c r="G483" s="199" t="s">
        <v>68</v>
      </c>
      <c r="H483" s="120" t="s">
        <v>2396</v>
      </c>
      <c r="I483" s="153">
        <v>1</v>
      </c>
      <c r="J483" s="198" t="s">
        <v>1465</v>
      </c>
      <c r="K483" s="221" t="s">
        <v>105</v>
      </c>
      <c r="L483" s="188"/>
      <c r="M483" s="286"/>
      <c r="N483" s="286"/>
      <c r="O483" s="286"/>
      <c r="P483" s="286"/>
      <c r="Q483" s="286"/>
    </row>
    <row r="484" spans="2:17" customFormat="1" hidden="1">
      <c r="B484" s="120" t="s">
        <v>1113</v>
      </c>
      <c r="C484" s="122" t="s">
        <v>2316</v>
      </c>
      <c r="D484" s="8" t="s">
        <v>51</v>
      </c>
      <c r="E484" s="136" t="s">
        <v>87</v>
      </c>
      <c r="F484" s="199">
        <v>741103</v>
      </c>
      <c r="G484" s="199" t="s">
        <v>54</v>
      </c>
      <c r="H484" s="120" t="s">
        <v>1350</v>
      </c>
      <c r="I484" s="153">
        <v>4</v>
      </c>
      <c r="J484" s="198" t="s">
        <v>1465</v>
      </c>
      <c r="K484" s="221" t="s">
        <v>105</v>
      </c>
      <c r="L484" s="188"/>
      <c r="M484" s="9"/>
      <c r="N484" s="9"/>
      <c r="O484" s="9"/>
      <c r="P484" s="9"/>
      <c r="Q484" s="9"/>
    </row>
    <row r="485" spans="2:17" customFormat="1" hidden="1">
      <c r="B485" s="120" t="s">
        <v>1114</v>
      </c>
      <c r="C485" s="122" t="s">
        <v>2324</v>
      </c>
      <c r="D485" s="8" t="s">
        <v>2325</v>
      </c>
      <c r="E485" s="303" t="s">
        <v>57</v>
      </c>
      <c r="F485" s="199">
        <v>751204</v>
      </c>
      <c r="G485" s="199" t="s">
        <v>68</v>
      </c>
      <c r="H485" s="120" t="s">
        <v>1350</v>
      </c>
      <c r="I485" s="153">
        <v>2</v>
      </c>
      <c r="J485" s="198" t="s">
        <v>1465</v>
      </c>
      <c r="K485" s="221" t="s">
        <v>105</v>
      </c>
      <c r="L485" s="188"/>
      <c r="M485" s="9"/>
      <c r="N485" s="9"/>
      <c r="O485" s="9"/>
      <c r="P485" s="9"/>
      <c r="Q485" s="9"/>
    </row>
    <row r="486" spans="2:17" customFormat="1" hidden="1">
      <c r="B486" s="120" t="s">
        <v>1115</v>
      </c>
      <c r="C486" s="122" t="s">
        <v>2317</v>
      </c>
      <c r="D486" s="8" t="s">
        <v>2326</v>
      </c>
      <c r="E486" s="303" t="s">
        <v>57</v>
      </c>
      <c r="F486" s="199">
        <v>751204</v>
      </c>
      <c r="G486" s="199" t="s">
        <v>68</v>
      </c>
      <c r="H486" s="120" t="s">
        <v>1350</v>
      </c>
      <c r="I486" s="153">
        <v>2</v>
      </c>
      <c r="J486" s="198" t="s">
        <v>1465</v>
      </c>
      <c r="K486" s="221" t="s">
        <v>105</v>
      </c>
      <c r="L486" s="188"/>
      <c r="M486" s="9"/>
      <c r="N486" s="9"/>
      <c r="O486" s="9"/>
      <c r="P486" s="9"/>
      <c r="Q486" s="9"/>
    </row>
    <row r="487" spans="2:17" customFormat="1" hidden="1">
      <c r="B487" s="120" t="s">
        <v>1116</v>
      </c>
      <c r="C487" s="122" t="s">
        <v>2318</v>
      </c>
      <c r="D487" s="8" t="s">
        <v>587</v>
      </c>
      <c r="E487" s="303" t="s">
        <v>57</v>
      </c>
      <c r="F487" s="199">
        <v>751204</v>
      </c>
      <c r="G487" s="199" t="s">
        <v>68</v>
      </c>
      <c r="H487" s="120" t="s">
        <v>1350</v>
      </c>
      <c r="I487" s="153">
        <v>1</v>
      </c>
      <c r="J487" s="198" t="s">
        <v>1465</v>
      </c>
      <c r="K487" s="221" t="s">
        <v>105</v>
      </c>
      <c r="L487" s="188"/>
      <c r="M487" s="9"/>
      <c r="N487" s="9"/>
      <c r="O487" s="9"/>
      <c r="P487" s="9"/>
      <c r="Q487" s="9"/>
    </row>
    <row r="488" spans="2:17" customFormat="1" hidden="1">
      <c r="B488" s="120" t="s">
        <v>1117</v>
      </c>
      <c r="C488" s="122" t="s">
        <v>2319</v>
      </c>
      <c r="D488" s="8" t="s">
        <v>1513</v>
      </c>
      <c r="E488" s="303" t="s">
        <v>57</v>
      </c>
      <c r="F488" s="199">
        <v>751204</v>
      </c>
      <c r="G488" s="199" t="s">
        <v>68</v>
      </c>
      <c r="H488" s="120" t="s">
        <v>1350</v>
      </c>
      <c r="I488" s="153">
        <v>2</v>
      </c>
      <c r="J488" s="198" t="s">
        <v>1465</v>
      </c>
      <c r="K488" s="221" t="s">
        <v>105</v>
      </c>
      <c r="L488" s="188"/>
      <c r="M488" s="9"/>
      <c r="N488" s="9"/>
      <c r="O488" s="9"/>
      <c r="P488" s="9"/>
      <c r="Q488" s="9"/>
    </row>
    <row r="489" spans="2:17" customFormat="1" hidden="1">
      <c r="B489" s="120" t="s">
        <v>1118</v>
      </c>
      <c r="C489" s="122" t="s">
        <v>2320</v>
      </c>
      <c r="D489" s="120" t="s">
        <v>2327</v>
      </c>
      <c r="E489" s="303" t="s">
        <v>57</v>
      </c>
      <c r="F489" s="199">
        <v>751204</v>
      </c>
      <c r="G489" s="199" t="s">
        <v>68</v>
      </c>
      <c r="H489" s="120" t="s">
        <v>1350</v>
      </c>
      <c r="I489" s="153">
        <v>3</v>
      </c>
      <c r="J489" s="198" t="s">
        <v>1465</v>
      </c>
      <c r="K489" s="221" t="s">
        <v>105</v>
      </c>
      <c r="L489" s="188"/>
      <c r="M489" s="9"/>
      <c r="N489" s="9"/>
      <c r="O489" s="9"/>
      <c r="P489" s="9"/>
      <c r="Q489" s="9"/>
    </row>
    <row r="490" spans="2:17" customFormat="1" hidden="1">
      <c r="B490" s="120" t="s">
        <v>1119</v>
      </c>
      <c r="C490" s="122" t="s">
        <v>2321</v>
      </c>
      <c r="D490" s="120" t="s">
        <v>2328</v>
      </c>
      <c r="E490" s="303" t="s">
        <v>57</v>
      </c>
      <c r="F490" s="199">
        <v>751204</v>
      </c>
      <c r="G490" s="199" t="s">
        <v>68</v>
      </c>
      <c r="H490" s="120" t="s">
        <v>1350</v>
      </c>
      <c r="I490" s="153">
        <v>2</v>
      </c>
      <c r="J490" s="198" t="s">
        <v>1465</v>
      </c>
      <c r="K490" s="221" t="s">
        <v>105</v>
      </c>
      <c r="L490" s="188"/>
      <c r="M490" s="9"/>
      <c r="N490" s="9"/>
      <c r="O490" s="9"/>
      <c r="P490" s="9"/>
      <c r="Q490" s="9"/>
    </row>
    <row r="491" spans="2:17" customFormat="1" hidden="1">
      <c r="B491" s="120" t="s">
        <v>1120</v>
      </c>
      <c r="C491" s="122" t="s">
        <v>2322</v>
      </c>
      <c r="D491" s="8" t="s">
        <v>2329</v>
      </c>
      <c r="E491" s="303" t="s">
        <v>57</v>
      </c>
      <c r="F491" s="199">
        <v>751204</v>
      </c>
      <c r="G491" s="199" t="s">
        <v>68</v>
      </c>
      <c r="H491" s="120" t="s">
        <v>1350</v>
      </c>
      <c r="I491" s="137">
        <v>2</v>
      </c>
      <c r="J491" s="198" t="s">
        <v>1465</v>
      </c>
      <c r="K491" s="221" t="s">
        <v>105</v>
      </c>
      <c r="L491" s="188"/>
      <c r="M491" s="9"/>
      <c r="N491" s="9"/>
      <c r="O491" s="9"/>
      <c r="P491" s="9"/>
      <c r="Q491" s="9"/>
    </row>
    <row r="492" spans="2:17" customFormat="1" hidden="1">
      <c r="B492" s="120" t="s">
        <v>1121</v>
      </c>
      <c r="C492" s="122" t="s">
        <v>2334</v>
      </c>
      <c r="D492" s="8" t="s">
        <v>585</v>
      </c>
      <c r="E492" s="303" t="s">
        <v>57</v>
      </c>
      <c r="F492" s="199">
        <v>751204</v>
      </c>
      <c r="G492" s="199" t="s">
        <v>68</v>
      </c>
      <c r="H492" s="120" t="s">
        <v>1350</v>
      </c>
      <c r="I492" s="137">
        <v>1</v>
      </c>
      <c r="J492" s="198" t="s">
        <v>1465</v>
      </c>
      <c r="K492" s="221" t="s">
        <v>105</v>
      </c>
      <c r="L492" s="188"/>
      <c r="M492" s="9"/>
      <c r="N492" s="9"/>
      <c r="O492" s="9"/>
      <c r="P492" s="9"/>
      <c r="Q492" s="9"/>
    </row>
    <row r="493" spans="2:17" customFormat="1" hidden="1">
      <c r="B493" s="120" t="s">
        <v>1122</v>
      </c>
      <c r="C493" s="122" t="s">
        <v>2323</v>
      </c>
      <c r="D493" s="8" t="s">
        <v>2330</v>
      </c>
      <c r="E493" s="303" t="s">
        <v>57</v>
      </c>
      <c r="F493" s="199">
        <v>751204</v>
      </c>
      <c r="G493" s="199" t="s">
        <v>68</v>
      </c>
      <c r="H493" s="120" t="s">
        <v>1350</v>
      </c>
      <c r="I493" s="137">
        <v>1</v>
      </c>
      <c r="J493" s="198" t="s">
        <v>1465</v>
      </c>
      <c r="K493" s="221" t="s">
        <v>105</v>
      </c>
      <c r="L493" s="188"/>
      <c r="M493" s="9"/>
      <c r="N493" s="9"/>
      <c r="O493" s="9"/>
      <c r="P493" s="9"/>
      <c r="Q493" s="9"/>
    </row>
    <row r="494" spans="2:17" customFormat="1" hidden="1">
      <c r="B494" s="120" t="s">
        <v>1123</v>
      </c>
      <c r="C494" s="122" t="s">
        <v>2333</v>
      </c>
      <c r="D494" s="8" t="s">
        <v>51</v>
      </c>
      <c r="E494" s="303" t="s">
        <v>57</v>
      </c>
      <c r="F494" s="199">
        <v>751204</v>
      </c>
      <c r="G494" s="199" t="s">
        <v>68</v>
      </c>
      <c r="H494" s="120" t="s">
        <v>1350</v>
      </c>
      <c r="I494" s="137">
        <v>2</v>
      </c>
      <c r="J494" s="198" t="s">
        <v>1465</v>
      </c>
      <c r="K494" s="357" t="s">
        <v>105</v>
      </c>
      <c r="L494" s="188"/>
      <c r="M494" s="9"/>
      <c r="N494" s="9"/>
      <c r="O494" s="9"/>
      <c r="P494" s="9"/>
      <c r="Q494" s="9"/>
    </row>
    <row r="495" spans="2:17" customFormat="1" hidden="1">
      <c r="B495" s="120" t="s">
        <v>1124</v>
      </c>
      <c r="C495" s="221" t="s">
        <v>2333</v>
      </c>
      <c r="D495" s="219" t="s">
        <v>51</v>
      </c>
      <c r="E495" s="198" t="s">
        <v>78</v>
      </c>
      <c r="F495" s="225">
        <v>741203</v>
      </c>
      <c r="G495" s="353" t="s">
        <v>64</v>
      </c>
      <c r="H495" s="349" t="s">
        <v>2396</v>
      </c>
      <c r="I495" s="137">
        <v>1</v>
      </c>
      <c r="J495" s="198" t="s">
        <v>1465</v>
      </c>
      <c r="K495" s="357" t="s">
        <v>105</v>
      </c>
      <c r="L495" s="188"/>
      <c r="M495" s="9"/>
      <c r="N495" s="9"/>
      <c r="O495" s="9"/>
      <c r="P495" s="9"/>
      <c r="Q495" s="9"/>
    </row>
    <row r="496" spans="2:17" customFormat="1" hidden="1">
      <c r="B496" s="120" t="s">
        <v>1125</v>
      </c>
      <c r="C496" s="156" t="s">
        <v>2333</v>
      </c>
      <c r="D496" s="219" t="s">
        <v>51</v>
      </c>
      <c r="E496" s="283" t="s">
        <v>37</v>
      </c>
      <c r="F496" s="119">
        <v>751201</v>
      </c>
      <c r="G496" s="119" t="s">
        <v>183</v>
      </c>
      <c r="H496" s="295" t="s">
        <v>1349</v>
      </c>
      <c r="I496" s="285">
        <v>2</v>
      </c>
      <c r="J496" s="358" t="s">
        <v>1501</v>
      </c>
      <c r="K496" s="357" t="s">
        <v>1503</v>
      </c>
      <c r="L496" s="23"/>
      <c r="M496" s="273"/>
      <c r="N496" s="273"/>
      <c r="O496" s="273"/>
      <c r="P496" s="273"/>
      <c r="Q496" s="273"/>
    </row>
    <row r="497" spans="2:17" customFormat="1" hidden="1">
      <c r="B497" s="120" t="s">
        <v>1126</v>
      </c>
      <c r="C497" s="156" t="s">
        <v>2333</v>
      </c>
      <c r="D497" s="219" t="s">
        <v>51</v>
      </c>
      <c r="E497" s="198" t="s">
        <v>55</v>
      </c>
      <c r="F497" s="199">
        <v>343101</v>
      </c>
      <c r="G497" s="199" t="s">
        <v>65</v>
      </c>
      <c r="H497" s="295" t="s">
        <v>1421</v>
      </c>
      <c r="I497" s="137">
        <v>1</v>
      </c>
      <c r="J497" s="358" t="s">
        <v>1501</v>
      </c>
      <c r="K497" s="357" t="s">
        <v>1503</v>
      </c>
      <c r="L497" s="188"/>
      <c r="M497" s="9"/>
      <c r="N497" s="9"/>
      <c r="O497" s="9"/>
      <c r="P497" s="9"/>
      <c r="Q497" s="9"/>
    </row>
    <row r="498" spans="2:17" customFormat="1" hidden="1">
      <c r="B498" s="120" t="s">
        <v>1127</v>
      </c>
      <c r="C498" s="156" t="s">
        <v>2333</v>
      </c>
      <c r="D498" s="219" t="s">
        <v>51</v>
      </c>
      <c r="E498" s="273" t="s">
        <v>577</v>
      </c>
      <c r="F498" s="356">
        <v>514101</v>
      </c>
      <c r="G498" s="356" t="s">
        <v>77</v>
      </c>
      <c r="H498" s="407" t="s">
        <v>2394</v>
      </c>
      <c r="I498" s="137">
        <v>5</v>
      </c>
      <c r="J498" s="358" t="s">
        <v>1501</v>
      </c>
      <c r="K498" s="357" t="s">
        <v>1503</v>
      </c>
      <c r="L498" s="188"/>
      <c r="M498" s="9"/>
      <c r="N498" s="9"/>
      <c r="O498" s="9"/>
      <c r="P498" s="9"/>
      <c r="Q498" s="9"/>
    </row>
    <row r="499" spans="2:17" customFormat="1" hidden="1">
      <c r="B499" s="120" t="s">
        <v>1176</v>
      </c>
      <c r="C499" s="156" t="s">
        <v>2333</v>
      </c>
      <c r="D499" s="219" t="s">
        <v>51</v>
      </c>
      <c r="E499" s="198" t="s">
        <v>44</v>
      </c>
      <c r="F499" s="57">
        <v>512001</v>
      </c>
      <c r="G499" s="206" t="s">
        <v>81</v>
      </c>
      <c r="H499" s="295" t="s">
        <v>2347</v>
      </c>
      <c r="I499" s="137">
        <v>1</v>
      </c>
      <c r="J499" s="358" t="s">
        <v>1501</v>
      </c>
      <c r="K499" s="357" t="s">
        <v>1503</v>
      </c>
      <c r="L499" s="188"/>
      <c r="M499" s="9"/>
      <c r="N499" s="9"/>
      <c r="O499" s="9"/>
      <c r="P499" s="9"/>
      <c r="Q499" s="9"/>
    </row>
    <row r="500" spans="2:17" customFormat="1" hidden="1">
      <c r="B500" s="120" t="s">
        <v>1128</v>
      </c>
      <c r="C500" s="156" t="s">
        <v>2333</v>
      </c>
      <c r="D500" s="219" t="s">
        <v>51</v>
      </c>
      <c r="E500" s="198" t="s">
        <v>34</v>
      </c>
      <c r="F500" s="199">
        <v>723103</v>
      </c>
      <c r="G500" s="241" t="s">
        <v>75</v>
      </c>
      <c r="H500" s="295" t="s">
        <v>1349</v>
      </c>
      <c r="I500" s="137">
        <v>8</v>
      </c>
      <c r="J500" s="358" t="s">
        <v>1501</v>
      </c>
      <c r="K500" s="357" t="s">
        <v>1503</v>
      </c>
      <c r="L500" s="188"/>
      <c r="M500" s="9"/>
      <c r="N500" s="9"/>
      <c r="O500" s="9"/>
      <c r="P500" s="9"/>
      <c r="Q500" s="9"/>
    </row>
    <row r="501" spans="2:17" customFormat="1" hidden="1">
      <c r="B501" s="120" t="s">
        <v>1129</v>
      </c>
      <c r="C501" s="389" t="s">
        <v>2358</v>
      </c>
      <c r="D501" s="387" t="s">
        <v>108</v>
      </c>
      <c r="E501" s="389" t="s">
        <v>37</v>
      </c>
      <c r="F501" s="387">
        <v>751201</v>
      </c>
      <c r="G501" s="387" t="s">
        <v>183</v>
      </c>
      <c r="H501" s="388" t="s">
        <v>2248</v>
      </c>
      <c r="I501" s="387">
        <v>1</v>
      </c>
      <c r="J501" s="284" t="s">
        <v>117</v>
      </c>
      <c r="K501" s="284" t="s">
        <v>943</v>
      </c>
      <c r="L501" s="188"/>
      <c r="M501" s="9"/>
      <c r="N501" s="9"/>
      <c r="O501" s="9"/>
      <c r="P501" s="9"/>
      <c r="Q501" s="9"/>
    </row>
    <row r="502" spans="2:17" customFormat="1" hidden="1">
      <c r="B502" s="120" t="s">
        <v>1130</v>
      </c>
      <c r="C502" s="138" t="s">
        <v>2353</v>
      </c>
      <c r="D502" s="219" t="s">
        <v>140</v>
      </c>
      <c r="E502" s="389" t="s">
        <v>37</v>
      </c>
      <c r="F502" s="387">
        <v>751201</v>
      </c>
      <c r="G502" s="387" t="s">
        <v>183</v>
      </c>
      <c r="H502" s="388" t="s">
        <v>2248</v>
      </c>
      <c r="I502" s="137">
        <v>1</v>
      </c>
      <c r="J502" s="284" t="s">
        <v>117</v>
      </c>
      <c r="K502" s="284" t="s">
        <v>943</v>
      </c>
      <c r="L502" s="188"/>
      <c r="M502" s="9"/>
      <c r="N502" s="9"/>
      <c r="O502" s="9"/>
      <c r="P502" s="9"/>
      <c r="Q502" s="9"/>
    </row>
    <row r="503" spans="2:17" customFormat="1" hidden="1">
      <c r="B503" s="120" t="s">
        <v>1131</v>
      </c>
      <c r="C503" s="122" t="s">
        <v>2359</v>
      </c>
      <c r="D503" s="8" t="s">
        <v>2360</v>
      </c>
      <c r="E503" s="273" t="s">
        <v>44</v>
      </c>
      <c r="F503" s="356">
        <v>512001</v>
      </c>
      <c r="G503" s="356" t="s">
        <v>81</v>
      </c>
      <c r="H503" s="120" t="s">
        <v>2338</v>
      </c>
      <c r="I503" s="120">
        <v>10</v>
      </c>
      <c r="J503" s="284" t="s">
        <v>117</v>
      </c>
      <c r="K503" s="284" t="s">
        <v>943</v>
      </c>
      <c r="L503" s="188"/>
      <c r="M503" s="9"/>
      <c r="N503" s="9"/>
      <c r="O503" s="9"/>
      <c r="P503" s="9"/>
      <c r="Q503" s="9"/>
    </row>
    <row r="504" spans="2:17" customFormat="1" hidden="1">
      <c r="B504" s="120" t="s">
        <v>1132</v>
      </c>
      <c r="C504" s="122" t="s">
        <v>1352</v>
      </c>
      <c r="D504" s="8" t="s">
        <v>1353</v>
      </c>
      <c r="E504" s="198" t="s">
        <v>198</v>
      </c>
      <c r="F504" s="199">
        <v>712618</v>
      </c>
      <c r="G504" s="199" t="s">
        <v>86</v>
      </c>
      <c r="H504" s="120" t="s">
        <v>2413</v>
      </c>
      <c r="I504" s="137">
        <v>8</v>
      </c>
      <c r="J504" s="284" t="s">
        <v>117</v>
      </c>
      <c r="K504" s="284" t="s">
        <v>943</v>
      </c>
      <c r="L504" s="190"/>
      <c r="M504" s="9"/>
      <c r="N504" s="9"/>
      <c r="O504" s="9"/>
      <c r="P504" s="9"/>
      <c r="Q504" s="9"/>
    </row>
    <row r="505" spans="2:17" customFormat="1" hidden="1">
      <c r="B505" s="120" t="s">
        <v>1133</v>
      </c>
      <c r="C505" s="284" t="s">
        <v>2371</v>
      </c>
      <c r="D505" s="391" t="s">
        <v>265</v>
      </c>
      <c r="E505" s="284" t="s">
        <v>206</v>
      </c>
      <c r="F505" s="295">
        <v>722204</v>
      </c>
      <c r="G505" s="295" t="s">
        <v>185</v>
      </c>
      <c r="H505" s="295" t="s">
        <v>2372</v>
      </c>
      <c r="I505" s="295">
        <v>4</v>
      </c>
      <c r="J505" s="284" t="s">
        <v>109</v>
      </c>
      <c r="K505" s="284" t="s">
        <v>237</v>
      </c>
      <c r="L505" s="190"/>
      <c r="M505" s="9"/>
      <c r="N505" s="9"/>
      <c r="O505" s="9"/>
      <c r="P505" s="9"/>
      <c r="Q505" s="9"/>
    </row>
    <row r="506" spans="2:17" customFormat="1" hidden="1">
      <c r="B506" s="120" t="s">
        <v>1134</v>
      </c>
      <c r="C506" s="284" t="s">
        <v>2371</v>
      </c>
      <c r="D506" s="391" t="s">
        <v>265</v>
      </c>
      <c r="E506" s="284" t="s">
        <v>33</v>
      </c>
      <c r="F506" s="387">
        <v>752205</v>
      </c>
      <c r="G506" s="387" t="s">
        <v>69</v>
      </c>
      <c r="H506" s="295" t="s">
        <v>1421</v>
      </c>
      <c r="I506" s="285">
        <v>7</v>
      </c>
      <c r="J506" s="284" t="s">
        <v>109</v>
      </c>
      <c r="K506" s="284" t="s">
        <v>237</v>
      </c>
      <c r="L506" s="190"/>
      <c r="M506" s="9"/>
      <c r="N506" s="9"/>
      <c r="O506" s="9"/>
      <c r="P506" s="9"/>
      <c r="Q506" s="9"/>
    </row>
    <row r="507" spans="2:17" customFormat="1">
      <c r="B507" s="120" t="s">
        <v>1135</v>
      </c>
      <c r="C507" s="284" t="s">
        <v>2371</v>
      </c>
      <c r="D507" s="391" t="s">
        <v>265</v>
      </c>
      <c r="E507" s="284" t="s">
        <v>45</v>
      </c>
      <c r="F507" s="387">
        <v>522301</v>
      </c>
      <c r="G507" s="394" t="s">
        <v>43</v>
      </c>
      <c r="H507" s="295" t="s">
        <v>2373</v>
      </c>
      <c r="I507" s="285">
        <v>5</v>
      </c>
      <c r="J507" s="284" t="s">
        <v>109</v>
      </c>
      <c r="K507" s="284" t="s">
        <v>237</v>
      </c>
      <c r="L507" s="190"/>
      <c r="M507" s="9"/>
      <c r="N507" s="9"/>
      <c r="O507" s="9"/>
      <c r="P507" s="9"/>
      <c r="Q507" s="9"/>
    </row>
    <row r="508" spans="2:17" customFormat="1" hidden="1">
      <c r="B508" s="120" t="s">
        <v>1139</v>
      </c>
      <c r="C508" s="284" t="s">
        <v>2371</v>
      </c>
      <c r="D508" s="391" t="s">
        <v>265</v>
      </c>
      <c r="E508" s="284" t="s">
        <v>34</v>
      </c>
      <c r="F508" s="387">
        <v>723103</v>
      </c>
      <c r="G508" s="387" t="s">
        <v>75</v>
      </c>
      <c r="H508" s="295" t="s">
        <v>1420</v>
      </c>
      <c r="I508" s="285">
        <v>13</v>
      </c>
      <c r="J508" s="284" t="s">
        <v>109</v>
      </c>
      <c r="K508" s="284" t="s">
        <v>237</v>
      </c>
      <c r="L508" s="190"/>
      <c r="M508" s="9"/>
      <c r="N508" s="9"/>
      <c r="O508" s="9"/>
      <c r="P508" s="9"/>
      <c r="Q508" s="9"/>
    </row>
    <row r="509" spans="2:17" customFormat="1" hidden="1">
      <c r="B509" s="120" t="s">
        <v>1140</v>
      </c>
      <c r="C509" s="284" t="s">
        <v>2371</v>
      </c>
      <c r="D509" s="391" t="s">
        <v>265</v>
      </c>
      <c r="E509" s="284" t="s">
        <v>44</v>
      </c>
      <c r="F509" s="57">
        <v>512001</v>
      </c>
      <c r="G509" s="206" t="s">
        <v>81</v>
      </c>
      <c r="H509" s="295"/>
      <c r="I509" s="285">
        <v>1</v>
      </c>
      <c r="J509" s="284" t="s">
        <v>109</v>
      </c>
      <c r="K509" s="284" t="s">
        <v>237</v>
      </c>
      <c r="L509" s="190"/>
      <c r="M509" s="286"/>
      <c r="N509" s="286"/>
      <c r="O509" s="286"/>
      <c r="P509" s="286"/>
      <c r="Q509" s="286"/>
    </row>
    <row r="510" spans="2:17" customFormat="1" hidden="1">
      <c r="B510" s="120" t="s">
        <v>1141</v>
      </c>
      <c r="C510" s="284" t="s">
        <v>2371</v>
      </c>
      <c r="D510" s="391" t="s">
        <v>265</v>
      </c>
      <c r="E510" s="284" t="s">
        <v>38</v>
      </c>
      <c r="F510" s="120">
        <v>741103</v>
      </c>
      <c r="G510" s="199" t="s">
        <v>54</v>
      </c>
      <c r="H510" s="295"/>
      <c r="I510" s="285">
        <v>4</v>
      </c>
      <c r="J510" s="172" t="s">
        <v>1498</v>
      </c>
      <c r="K510" s="284" t="s">
        <v>851</v>
      </c>
      <c r="L510" s="190"/>
      <c r="M510" s="286"/>
      <c r="N510" s="286"/>
      <c r="O510" s="286"/>
      <c r="P510" s="286"/>
      <c r="Q510" s="286"/>
    </row>
    <row r="511" spans="2:17" customFormat="1" hidden="1">
      <c r="B511" s="120" t="s">
        <v>1142</v>
      </c>
      <c r="C511" s="284" t="s">
        <v>2371</v>
      </c>
      <c r="D511" s="391" t="s">
        <v>265</v>
      </c>
      <c r="E511" s="284" t="s">
        <v>36</v>
      </c>
      <c r="F511" s="356">
        <v>514101</v>
      </c>
      <c r="G511" s="356" t="s">
        <v>77</v>
      </c>
      <c r="H511" s="295"/>
      <c r="I511" s="285">
        <v>5</v>
      </c>
      <c r="J511" s="172" t="s">
        <v>1498</v>
      </c>
      <c r="K511" s="284" t="s">
        <v>851</v>
      </c>
      <c r="L511" s="190"/>
      <c r="M511" s="286"/>
      <c r="N511" s="286"/>
      <c r="O511" s="286"/>
      <c r="P511" s="286"/>
      <c r="Q511" s="286"/>
    </row>
    <row r="512" spans="2:17" customFormat="1" hidden="1">
      <c r="B512" s="120" t="s">
        <v>1143</v>
      </c>
      <c r="C512" s="284" t="s">
        <v>2371</v>
      </c>
      <c r="D512" s="391" t="s">
        <v>265</v>
      </c>
      <c r="E512" s="284" t="s">
        <v>52</v>
      </c>
      <c r="F512" s="120">
        <v>721306</v>
      </c>
      <c r="G512" s="199" t="s">
        <v>63</v>
      </c>
      <c r="H512" s="295"/>
      <c r="I512" s="285">
        <v>1</v>
      </c>
      <c r="J512" s="172" t="s">
        <v>1498</v>
      </c>
      <c r="K512" s="284" t="s">
        <v>851</v>
      </c>
      <c r="L512" s="190"/>
      <c r="M512" s="286"/>
      <c r="N512" s="286"/>
      <c r="O512" s="286"/>
      <c r="P512" s="286"/>
      <c r="Q512" s="286"/>
    </row>
    <row r="513" spans="2:17" customFormat="1" hidden="1">
      <c r="B513" s="120" t="s">
        <v>1144</v>
      </c>
      <c r="C513" s="321" t="s">
        <v>264</v>
      </c>
      <c r="D513" s="391" t="s">
        <v>265</v>
      </c>
      <c r="E513" s="321" t="s">
        <v>34</v>
      </c>
      <c r="F513" s="295">
        <v>723103</v>
      </c>
      <c r="G513" s="295" t="s">
        <v>75</v>
      </c>
      <c r="H513" s="295" t="s">
        <v>1420</v>
      </c>
      <c r="I513" s="285">
        <v>1</v>
      </c>
      <c r="J513" s="284" t="s">
        <v>109</v>
      </c>
      <c r="K513" s="284" t="s">
        <v>237</v>
      </c>
      <c r="L513" s="190"/>
      <c r="M513" s="9"/>
      <c r="N513" s="9"/>
      <c r="O513" s="9"/>
      <c r="P513" s="9"/>
      <c r="Q513" s="9"/>
    </row>
    <row r="514" spans="2:17" customFormat="1" hidden="1">
      <c r="B514" s="120" t="s">
        <v>1145</v>
      </c>
      <c r="C514" s="321" t="s">
        <v>264</v>
      </c>
      <c r="D514" s="391" t="s">
        <v>265</v>
      </c>
      <c r="E514" s="284" t="s">
        <v>33</v>
      </c>
      <c r="F514" s="295">
        <v>752205</v>
      </c>
      <c r="G514" s="295" t="s">
        <v>69</v>
      </c>
      <c r="H514" s="295" t="s">
        <v>1421</v>
      </c>
      <c r="I514" s="285">
        <v>1</v>
      </c>
      <c r="J514" s="284" t="s">
        <v>109</v>
      </c>
      <c r="K514" s="284" t="s">
        <v>237</v>
      </c>
      <c r="L514" s="190"/>
      <c r="M514" s="9"/>
      <c r="N514" s="9"/>
      <c r="O514" s="9"/>
      <c r="P514" s="9"/>
      <c r="Q514" s="9"/>
    </row>
    <row r="515" spans="2:17" customFormat="1">
      <c r="B515" s="120" t="s">
        <v>1146</v>
      </c>
      <c r="C515" s="321" t="s">
        <v>264</v>
      </c>
      <c r="D515" s="391" t="s">
        <v>265</v>
      </c>
      <c r="E515" s="321" t="s">
        <v>45</v>
      </c>
      <c r="F515" s="295">
        <v>522301</v>
      </c>
      <c r="G515" s="295" t="s">
        <v>43</v>
      </c>
      <c r="H515" s="295" t="s">
        <v>2373</v>
      </c>
      <c r="I515" s="285">
        <v>3</v>
      </c>
      <c r="J515" s="284" t="s">
        <v>109</v>
      </c>
      <c r="K515" s="284" t="s">
        <v>237</v>
      </c>
      <c r="L515" s="190"/>
      <c r="M515" s="9"/>
      <c r="N515" s="9"/>
      <c r="O515" s="9"/>
      <c r="P515" s="9"/>
      <c r="Q515" s="9"/>
    </row>
    <row r="516" spans="2:17" customFormat="1">
      <c r="B516" s="120" t="s">
        <v>1147</v>
      </c>
      <c r="C516" s="321" t="s">
        <v>107</v>
      </c>
      <c r="D516" s="391" t="s">
        <v>108</v>
      </c>
      <c r="E516" s="321" t="s">
        <v>45</v>
      </c>
      <c r="F516" s="295">
        <v>522301</v>
      </c>
      <c r="G516" s="295" t="s">
        <v>43</v>
      </c>
      <c r="H516" s="295" t="s">
        <v>2373</v>
      </c>
      <c r="I516" s="285">
        <v>1</v>
      </c>
      <c r="J516" s="284" t="s">
        <v>109</v>
      </c>
      <c r="K516" s="284" t="s">
        <v>237</v>
      </c>
      <c r="L516" s="190"/>
      <c r="M516" s="9"/>
      <c r="N516" s="9"/>
      <c r="O516" s="9"/>
      <c r="P516" s="9"/>
      <c r="Q516" s="9"/>
    </row>
    <row r="517" spans="2:17" customFormat="1" hidden="1">
      <c r="B517" s="120" t="s">
        <v>1148</v>
      </c>
      <c r="C517" s="321" t="s">
        <v>107</v>
      </c>
      <c r="D517" s="391" t="s">
        <v>108</v>
      </c>
      <c r="E517" s="284" t="s">
        <v>206</v>
      </c>
      <c r="F517" s="295">
        <v>722204</v>
      </c>
      <c r="G517" s="295" t="s">
        <v>185</v>
      </c>
      <c r="H517" s="295" t="s">
        <v>2372</v>
      </c>
      <c r="I517" s="285">
        <v>2</v>
      </c>
      <c r="J517" s="284" t="s">
        <v>109</v>
      </c>
      <c r="K517" s="284" t="s">
        <v>237</v>
      </c>
      <c r="L517" s="190"/>
      <c r="M517" s="9"/>
      <c r="N517" s="9"/>
      <c r="O517" s="9"/>
      <c r="P517" s="9"/>
      <c r="Q517" s="9"/>
    </row>
    <row r="518" spans="2:17" customFormat="1" hidden="1">
      <c r="B518" s="120" t="s">
        <v>1149</v>
      </c>
      <c r="C518" s="321" t="s">
        <v>107</v>
      </c>
      <c r="D518" s="391" t="s">
        <v>108</v>
      </c>
      <c r="E518" s="321" t="s">
        <v>34</v>
      </c>
      <c r="F518" s="295">
        <v>723103</v>
      </c>
      <c r="G518" s="295" t="s">
        <v>75</v>
      </c>
      <c r="H518" s="295" t="s">
        <v>1420</v>
      </c>
      <c r="I518" s="285">
        <v>1</v>
      </c>
      <c r="J518" s="284" t="s">
        <v>109</v>
      </c>
      <c r="K518" s="284" t="s">
        <v>237</v>
      </c>
      <c r="L518" s="188"/>
      <c r="M518" s="9"/>
      <c r="N518" s="9"/>
      <c r="O518" s="9"/>
      <c r="P518" s="9"/>
      <c r="Q518" s="9"/>
    </row>
    <row r="519" spans="2:17" customFormat="1" hidden="1">
      <c r="B519" s="120" t="s">
        <v>1150</v>
      </c>
      <c r="C519" s="284" t="s">
        <v>2374</v>
      </c>
      <c r="D519" s="391" t="s">
        <v>2194</v>
      </c>
      <c r="E519" s="395" t="s">
        <v>1494</v>
      </c>
      <c r="F519" s="387">
        <v>512001</v>
      </c>
      <c r="G519" s="387" t="s">
        <v>81</v>
      </c>
      <c r="H519" s="295" t="s">
        <v>1427</v>
      </c>
      <c r="I519" s="393">
        <v>2</v>
      </c>
      <c r="J519" s="284" t="s">
        <v>109</v>
      </c>
      <c r="K519" s="284" t="s">
        <v>237</v>
      </c>
      <c r="L519" s="188"/>
      <c r="M519" s="9"/>
      <c r="N519" s="9"/>
      <c r="O519" s="9"/>
      <c r="P519" s="9"/>
      <c r="Q519" s="9"/>
    </row>
    <row r="520" spans="2:17" customFormat="1" hidden="1">
      <c r="B520" s="120" t="s">
        <v>1151</v>
      </c>
      <c r="C520" s="284" t="s">
        <v>2374</v>
      </c>
      <c r="D520" s="391" t="s">
        <v>2194</v>
      </c>
      <c r="E520" s="284" t="s">
        <v>206</v>
      </c>
      <c r="F520" s="295">
        <v>722204</v>
      </c>
      <c r="G520" s="295" t="s">
        <v>185</v>
      </c>
      <c r="H520" s="295" t="s">
        <v>2372</v>
      </c>
      <c r="I520" s="393">
        <v>2</v>
      </c>
      <c r="J520" s="284" t="s">
        <v>109</v>
      </c>
      <c r="K520" s="284" t="s">
        <v>237</v>
      </c>
      <c r="L520" s="188"/>
      <c r="M520" s="9"/>
      <c r="N520" s="9"/>
      <c r="O520" s="9"/>
      <c r="P520" s="9"/>
      <c r="Q520" s="9"/>
    </row>
    <row r="521" spans="2:17" customFormat="1">
      <c r="B521" s="120" t="s">
        <v>1152</v>
      </c>
      <c r="C521" s="284" t="s">
        <v>2374</v>
      </c>
      <c r="D521" s="391" t="s">
        <v>2194</v>
      </c>
      <c r="E521" s="284" t="s">
        <v>45</v>
      </c>
      <c r="F521" s="387">
        <v>522301</v>
      </c>
      <c r="G521" s="394" t="s">
        <v>43</v>
      </c>
      <c r="H521" s="295" t="s">
        <v>1421</v>
      </c>
      <c r="I521" s="393">
        <v>2</v>
      </c>
      <c r="J521" s="284" t="s">
        <v>109</v>
      </c>
      <c r="K521" s="284" t="s">
        <v>237</v>
      </c>
      <c r="L521" s="188"/>
      <c r="M521" s="9"/>
      <c r="N521" s="9"/>
      <c r="O521" s="9"/>
      <c r="P521" s="9"/>
      <c r="Q521" s="9"/>
    </row>
    <row r="522" spans="2:17" customFormat="1" hidden="1">
      <c r="B522" s="120" t="s">
        <v>1153</v>
      </c>
      <c r="C522" s="284" t="s">
        <v>2374</v>
      </c>
      <c r="D522" s="391" t="s">
        <v>2194</v>
      </c>
      <c r="E522" s="284" t="s">
        <v>34</v>
      </c>
      <c r="F522" s="387">
        <v>723103</v>
      </c>
      <c r="G522" s="387" t="s">
        <v>75</v>
      </c>
      <c r="H522" s="295" t="s">
        <v>1420</v>
      </c>
      <c r="I522" s="393">
        <v>1</v>
      </c>
      <c r="J522" s="284" t="s">
        <v>109</v>
      </c>
      <c r="K522" s="284" t="s">
        <v>237</v>
      </c>
      <c r="L522" s="190"/>
      <c r="M522" s="9"/>
      <c r="N522" s="9"/>
      <c r="O522" s="9"/>
      <c r="P522" s="9"/>
      <c r="Q522" s="9"/>
    </row>
    <row r="523" spans="2:17" customFormat="1" hidden="1">
      <c r="B523" s="120" t="s">
        <v>1157</v>
      </c>
      <c r="C523" s="122" t="s">
        <v>2398</v>
      </c>
      <c r="D523" s="8" t="s">
        <v>2399</v>
      </c>
      <c r="E523" s="303" t="s">
        <v>57</v>
      </c>
      <c r="F523" s="199">
        <v>751204</v>
      </c>
      <c r="G523" s="199" t="s">
        <v>68</v>
      </c>
      <c r="H523" s="120" t="s">
        <v>1350</v>
      </c>
      <c r="I523" s="135">
        <v>1</v>
      </c>
      <c r="J523" s="198" t="s">
        <v>1465</v>
      </c>
      <c r="K523" s="221" t="s">
        <v>105</v>
      </c>
      <c r="L523" s="188"/>
      <c r="M523" s="9"/>
      <c r="N523" s="9"/>
      <c r="O523" s="9"/>
      <c r="P523" s="9"/>
      <c r="Q523" s="9"/>
    </row>
    <row r="524" spans="2:17" customFormat="1" hidden="1">
      <c r="B524" s="120" t="s">
        <v>1159</v>
      </c>
      <c r="C524" s="122"/>
      <c r="D524" s="8"/>
      <c r="E524" s="221"/>
      <c r="F524" s="120"/>
      <c r="G524" s="201"/>
      <c r="H524" s="120"/>
      <c r="I524" s="135"/>
      <c r="J524" s="172"/>
      <c r="K524" s="122"/>
      <c r="L524" s="190"/>
      <c r="M524" s="9"/>
      <c r="N524" s="9"/>
      <c r="O524" s="9"/>
      <c r="P524" s="9"/>
      <c r="Q524" s="9"/>
    </row>
    <row r="525" spans="2:17" customFormat="1" hidden="1">
      <c r="B525" s="120" t="s">
        <v>1160</v>
      </c>
      <c r="C525" s="138"/>
      <c r="D525" s="116"/>
      <c r="E525" s="221"/>
      <c r="F525" s="129"/>
      <c r="G525" s="202"/>
      <c r="H525" s="129"/>
      <c r="I525" s="191"/>
      <c r="J525" s="172"/>
      <c r="K525" s="122"/>
      <c r="L525" s="192"/>
      <c r="M525" s="193"/>
      <c r="N525" s="193"/>
      <c r="O525" s="193"/>
      <c r="P525" s="193"/>
      <c r="Q525" s="9"/>
    </row>
    <row r="526" spans="2:17" s="13" customFormat="1" hidden="1">
      <c r="B526" s="120" t="s">
        <v>1161</v>
      </c>
      <c r="C526" s="138"/>
      <c r="D526" s="116"/>
      <c r="E526" s="221"/>
      <c r="F526" s="129"/>
      <c r="G526" s="202"/>
      <c r="H526" s="129"/>
      <c r="I526" s="139"/>
      <c r="J526" s="157"/>
      <c r="K526" s="138"/>
      <c r="L526" s="194"/>
      <c r="M526" s="193"/>
      <c r="N526" s="178"/>
      <c r="O526" s="178"/>
      <c r="P526" s="178"/>
      <c r="Q526" s="42"/>
    </row>
    <row r="527" spans="2:17" customFormat="1" hidden="1">
      <c r="B527" s="120" t="s">
        <v>1162</v>
      </c>
      <c r="C527" s="122"/>
      <c r="D527" s="8"/>
      <c r="E527" s="221"/>
      <c r="F527" s="120"/>
      <c r="G527" s="201"/>
      <c r="H527" s="120"/>
      <c r="I527" s="137"/>
      <c r="J527" s="122"/>
      <c r="K527" s="122"/>
      <c r="L527" s="195"/>
      <c r="M527" s="9"/>
      <c r="N527" s="9"/>
      <c r="O527" s="9"/>
      <c r="P527" s="9"/>
      <c r="Q527" s="9"/>
    </row>
    <row r="528" spans="2:17" customFormat="1" hidden="1">
      <c r="B528" s="120" t="s">
        <v>1163</v>
      </c>
      <c r="C528" s="122"/>
      <c r="D528" s="8"/>
      <c r="E528" s="221"/>
      <c r="F528" s="120"/>
      <c r="G528" s="201"/>
      <c r="H528" s="120"/>
      <c r="I528" s="137"/>
      <c r="J528" s="172"/>
      <c r="K528" s="122"/>
      <c r="L528" s="195"/>
      <c r="M528" s="9"/>
      <c r="N528" s="9"/>
      <c r="O528" s="9"/>
      <c r="P528" s="9"/>
      <c r="Q528" s="9"/>
    </row>
    <row r="529" spans="2:17" customFormat="1" hidden="1">
      <c r="B529" s="120" t="s">
        <v>1166</v>
      </c>
      <c r="C529" s="122"/>
      <c r="D529" s="8"/>
      <c r="E529" s="221"/>
      <c r="F529" s="120"/>
      <c r="G529" s="201"/>
      <c r="H529" s="120"/>
      <c r="I529" s="137"/>
      <c r="J529" s="172"/>
      <c r="K529" s="122"/>
      <c r="L529" s="195"/>
      <c r="M529" s="9"/>
      <c r="N529" s="9"/>
      <c r="O529" s="9"/>
      <c r="P529" s="9"/>
      <c r="Q529" s="9"/>
    </row>
    <row r="530" spans="2:17" customFormat="1" hidden="1">
      <c r="B530" s="120" t="s">
        <v>1167</v>
      </c>
      <c r="C530" s="122"/>
      <c r="D530" s="8"/>
      <c r="E530" s="221"/>
      <c r="F530" s="120"/>
      <c r="G530" s="201"/>
      <c r="H530" s="120"/>
      <c r="I530" s="137"/>
      <c r="J530" s="172"/>
      <c r="K530" s="122"/>
      <c r="L530" s="195"/>
      <c r="M530" s="9"/>
      <c r="N530" s="9"/>
      <c r="O530" s="9"/>
      <c r="P530" s="9"/>
      <c r="Q530" s="9"/>
    </row>
    <row r="531" spans="2:17" customFormat="1" hidden="1">
      <c r="B531" s="120" t="s">
        <v>1168</v>
      </c>
      <c r="C531" s="122"/>
      <c r="D531" s="8"/>
      <c r="E531" s="221"/>
      <c r="F531" s="120"/>
      <c r="G531" s="201"/>
      <c r="H531" s="120"/>
      <c r="I531" s="137"/>
      <c r="J531" s="172"/>
      <c r="K531" s="122"/>
      <c r="L531" s="195"/>
      <c r="M531" s="9"/>
      <c r="N531" s="9"/>
      <c r="O531" s="9"/>
      <c r="P531" s="9"/>
      <c r="Q531" s="9"/>
    </row>
    <row r="532" spans="2:17" customFormat="1" hidden="1">
      <c r="B532" s="120" t="s">
        <v>1169</v>
      </c>
      <c r="C532" s="122"/>
      <c r="D532" s="8"/>
      <c r="E532" s="221"/>
      <c r="F532" s="120"/>
      <c r="G532" s="201"/>
      <c r="H532" s="120"/>
      <c r="I532" s="137"/>
      <c r="J532" s="122"/>
      <c r="K532" s="122"/>
      <c r="L532" s="195"/>
      <c r="M532" s="9"/>
      <c r="N532" s="9"/>
      <c r="O532" s="9"/>
      <c r="P532" s="9"/>
      <c r="Q532" s="9"/>
    </row>
    <row r="533" spans="2:17" customFormat="1" hidden="1">
      <c r="B533" s="120" t="s">
        <v>1170</v>
      </c>
      <c r="C533" s="122"/>
      <c r="D533" s="8"/>
      <c r="E533" s="221"/>
      <c r="F533" s="120"/>
      <c r="G533" s="201"/>
      <c r="H533" s="120"/>
      <c r="I533" s="137"/>
      <c r="J533" s="122"/>
      <c r="K533" s="122"/>
      <c r="L533" s="195"/>
      <c r="M533" s="9"/>
      <c r="N533" s="9"/>
      <c r="O533" s="9"/>
      <c r="P533" s="9"/>
      <c r="Q533" s="9"/>
    </row>
    <row r="534" spans="2:17" customFormat="1" hidden="1">
      <c r="B534" s="120" t="s">
        <v>1171</v>
      </c>
      <c r="C534" s="122"/>
      <c r="D534" s="8"/>
      <c r="E534" s="221"/>
      <c r="F534" s="120"/>
      <c r="G534" s="201"/>
      <c r="H534" s="120"/>
      <c r="I534" s="137"/>
      <c r="J534" s="172"/>
      <c r="K534" s="122"/>
      <c r="L534" s="195"/>
      <c r="M534" s="9"/>
      <c r="N534" s="9"/>
      <c r="O534" s="9"/>
      <c r="P534" s="9"/>
      <c r="Q534" s="9"/>
    </row>
    <row r="535" spans="2:17" customFormat="1" hidden="1">
      <c r="B535" s="120" t="s">
        <v>1309</v>
      </c>
      <c r="C535" s="122"/>
      <c r="D535" s="120"/>
      <c r="E535" s="221"/>
      <c r="F535" s="219"/>
      <c r="G535" s="201"/>
      <c r="H535" s="120"/>
      <c r="I535" s="137"/>
      <c r="J535" s="172"/>
      <c r="K535" s="122"/>
      <c r="L535" s="195"/>
      <c r="M535" s="9"/>
      <c r="N535" s="9"/>
      <c r="O535" s="9"/>
      <c r="P535" s="9"/>
      <c r="Q535" s="9"/>
    </row>
    <row r="536" spans="2:17" customFormat="1" hidden="1">
      <c r="B536" s="120" t="s">
        <v>1310</v>
      </c>
      <c r="C536" s="122"/>
      <c r="D536" s="8"/>
      <c r="E536" s="221"/>
      <c r="F536" s="120"/>
      <c r="G536" s="201"/>
      <c r="H536" s="120"/>
      <c r="I536" s="137"/>
      <c r="J536" s="172"/>
      <c r="K536" s="122"/>
      <c r="L536" s="195"/>
      <c r="M536" s="9"/>
      <c r="N536" s="9"/>
      <c r="O536" s="9"/>
      <c r="P536" s="9"/>
      <c r="Q536" s="9"/>
    </row>
    <row r="537" spans="2:17" customFormat="1" hidden="1">
      <c r="B537" s="120" t="s">
        <v>1311</v>
      </c>
      <c r="C537" s="121"/>
      <c r="D537" s="165"/>
      <c r="E537" s="221"/>
      <c r="F537" s="137"/>
      <c r="G537" s="201"/>
      <c r="H537" s="137"/>
      <c r="I537" s="137"/>
      <c r="J537" s="161"/>
      <c r="K537" s="122"/>
      <c r="L537" s="195"/>
      <c r="M537" s="9"/>
      <c r="N537" s="9"/>
      <c r="O537" s="9"/>
      <c r="P537" s="9"/>
      <c r="Q537" s="9"/>
    </row>
    <row r="538" spans="2:17" customFormat="1" hidden="1">
      <c r="B538" s="120" t="s">
        <v>1312</v>
      </c>
      <c r="C538" s="122"/>
      <c r="D538" s="8"/>
      <c r="E538" s="221"/>
      <c r="F538" s="120"/>
      <c r="G538" s="201"/>
      <c r="H538" s="120"/>
      <c r="I538" s="137"/>
      <c r="J538" s="172"/>
      <c r="K538" s="122"/>
      <c r="L538" s="195"/>
      <c r="M538" s="9"/>
      <c r="N538" s="9"/>
      <c r="O538" s="9"/>
      <c r="P538" s="9"/>
      <c r="Q538" s="9"/>
    </row>
    <row r="539" spans="2:17" customFormat="1" hidden="1">
      <c r="B539" s="120" t="s">
        <v>1313</v>
      </c>
      <c r="C539" s="122"/>
      <c r="D539" s="8"/>
      <c r="E539" s="221"/>
      <c r="F539" s="120"/>
      <c r="G539" s="201"/>
      <c r="H539" s="120"/>
      <c r="I539" s="137"/>
      <c r="J539" s="172"/>
      <c r="K539" s="122"/>
      <c r="L539" s="195"/>
      <c r="M539" s="9"/>
      <c r="N539" s="9"/>
      <c r="O539" s="9"/>
      <c r="P539" s="9"/>
      <c r="Q539" s="9"/>
    </row>
    <row r="540" spans="2:17" customFormat="1" hidden="1">
      <c r="B540" s="120" t="s">
        <v>1314</v>
      </c>
      <c r="C540" s="122"/>
      <c r="D540" s="8"/>
      <c r="E540" s="221"/>
      <c r="F540" s="120"/>
      <c r="G540" s="201"/>
      <c r="H540" s="120"/>
      <c r="I540" s="137"/>
      <c r="J540" s="122"/>
      <c r="K540" s="122"/>
      <c r="L540" s="195"/>
      <c r="M540" s="9"/>
      <c r="N540" s="9"/>
      <c r="O540" s="9"/>
      <c r="P540" s="9"/>
      <c r="Q540" s="9"/>
    </row>
    <row r="541" spans="2:17" customFormat="1" hidden="1">
      <c r="B541" s="120" t="s">
        <v>1315</v>
      </c>
      <c r="C541" s="122"/>
      <c r="D541" s="8"/>
      <c r="E541" s="221"/>
      <c r="F541" s="120"/>
      <c r="G541" s="201"/>
      <c r="H541" s="120"/>
      <c r="I541" s="137"/>
      <c r="J541" s="172"/>
      <c r="K541" s="122"/>
      <c r="L541" s="195"/>
      <c r="M541" s="9"/>
      <c r="N541" s="9"/>
      <c r="O541" s="9"/>
      <c r="P541" s="9"/>
      <c r="Q541" s="9"/>
    </row>
    <row r="542" spans="2:17" customFormat="1" hidden="1">
      <c r="B542" s="120" t="s">
        <v>1316</v>
      </c>
      <c r="C542" s="122"/>
      <c r="D542" s="8"/>
      <c r="E542" s="221"/>
      <c r="F542" s="120"/>
      <c r="G542" s="201"/>
      <c r="H542" s="158"/>
      <c r="I542" s="137"/>
      <c r="J542" s="172"/>
      <c r="K542" s="122"/>
      <c r="L542" s="195"/>
      <c r="M542" s="9"/>
      <c r="N542" s="9"/>
      <c r="O542" s="9"/>
      <c r="P542" s="9"/>
      <c r="Q542" s="9"/>
    </row>
    <row r="543" spans="2:17" customFormat="1" hidden="1">
      <c r="B543" s="120" t="s">
        <v>1317</v>
      </c>
      <c r="C543" s="122"/>
      <c r="D543" s="8"/>
      <c r="E543" s="221"/>
      <c r="F543" s="120"/>
      <c r="G543" s="201"/>
      <c r="H543" s="158"/>
      <c r="I543" s="137"/>
      <c r="J543" s="172"/>
      <c r="K543" s="122"/>
      <c r="L543" s="195"/>
      <c r="M543" s="9"/>
      <c r="N543" s="9"/>
      <c r="O543" s="9"/>
      <c r="P543" s="9"/>
      <c r="Q543" s="9"/>
    </row>
    <row r="544" spans="2:17" customFormat="1" hidden="1">
      <c r="B544" s="120" t="s">
        <v>1318</v>
      </c>
      <c r="C544" s="122"/>
      <c r="D544" s="8"/>
      <c r="E544" s="221"/>
      <c r="F544" s="120"/>
      <c r="G544" s="201"/>
      <c r="H544" s="158"/>
      <c r="I544" s="137"/>
      <c r="J544" s="172"/>
      <c r="K544" s="122"/>
      <c r="L544" s="195"/>
      <c r="M544" s="9"/>
      <c r="N544" s="9"/>
      <c r="O544" s="9"/>
      <c r="P544" s="9"/>
      <c r="Q544" s="9"/>
    </row>
    <row r="545" spans="2:17" customFormat="1" hidden="1">
      <c r="B545" s="120" t="s">
        <v>1319</v>
      </c>
      <c r="C545" s="122"/>
      <c r="D545" s="120"/>
      <c r="E545" s="221"/>
      <c r="F545" s="120"/>
      <c r="G545" s="201"/>
      <c r="H545" s="120"/>
      <c r="I545" s="137"/>
      <c r="J545" s="172"/>
      <c r="K545" s="122"/>
      <c r="L545" s="195"/>
      <c r="M545" s="9"/>
      <c r="N545" s="9"/>
      <c r="O545" s="9"/>
      <c r="P545" s="9"/>
      <c r="Q545" s="9"/>
    </row>
    <row r="546" spans="2:17" customFormat="1" hidden="1">
      <c r="B546" s="120" t="s">
        <v>1354</v>
      </c>
      <c r="C546" s="122"/>
      <c r="D546" s="8"/>
      <c r="E546" s="221"/>
      <c r="F546" s="120"/>
      <c r="G546" s="201"/>
      <c r="H546" s="158"/>
      <c r="I546" s="137"/>
      <c r="J546" s="172"/>
      <c r="K546" s="122"/>
      <c r="L546" s="195"/>
      <c r="M546" s="9"/>
      <c r="N546" s="9"/>
      <c r="O546" s="9"/>
      <c r="P546" s="9"/>
      <c r="Q546" s="9"/>
    </row>
    <row r="547" spans="2:17" customFormat="1" hidden="1">
      <c r="B547" s="120" t="s">
        <v>1355</v>
      </c>
      <c r="C547" s="122"/>
      <c r="D547" s="120"/>
      <c r="E547" s="221"/>
      <c r="F547" s="120"/>
      <c r="G547" s="201"/>
      <c r="H547" s="120"/>
      <c r="I547" s="137"/>
      <c r="J547" s="172"/>
      <c r="K547" s="122"/>
      <c r="L547" s="195"/>
      <c r="M547" s="9"/>
      <c r="N547" s="9"/>
      <c r="O547" s="9"/>
      <c r="P547" s="9"/>
      <c r="Q547" s="9"/>
    </row>
    <row r="548" spans="2:17" customFormat="1" hidden="1">
      <c r="B548" s="120" t="s">
        <v>1356</v>
      </c>
      <c r="C548" s="122"/>
      <c r="D548" s="8"/>
      <c r="E548" s="221"/>
      <c r="F548" s="120"/>
      <c r="G548" s="201"/>
      <c r="H548" s="120"/>
      <c r="I548" s="137"/>
      <c r="J548" s="172"/>
      <c r="K548" s="122"/>
      <c r="L548" s="195"/>
      <c r="M548" s="9"/>
      <c r="N548" s="9"/>
      <c r="O548" s="9"/>
      <c r="P548" s="9"/>
      <c r="Q548" s="9"/>
    </row>
    <row r="549" spans="2:17" customFormat="1" hidden="1">
      <c r="B549" s="120" t="s">
        <v>1357</v>
      </c>
      <c r="C549" s="122"/>
      <c r="D549" s="8"/>
      <c r="E549" s="221"/>
      <c r="F549" s="120"/>
      <c r="G549" s="201"/>
      <c r="H549" s="158"/>
      <c r="I549" s="137"/>
      <c r="J549" s="172"/>
      <c r="K549" s="122"/>
      <c r="L549" s="195"/>
      <c r="M549" s="9"/>
      <c r="N549" s="9"/>
      <c r="O549" s="9"/>
      <c r="P549" s="9"/>
      <c r="Q549" s="9"/>
    </row>
    <row r="550" spans="2:17" customFormat="1" hidden="1">
      <c r="B550" s="120" t="s">
        <v>1358</v>
      </c>
      <c r="C550" s="122"/>
      <c r="D550" s="8"/>
      <c r="E550" s="221"/>
      <c r="F550" s="120"/>
      <c r="G550" s="201"/>
      <c r="H550" s="158"/>
      <c r="I550" s="137"/>
      <c r="J550" s="172"/>
      <c r="K550" s="122"/>
      <c r="L550" s="195"/>
      <c r="M550" s="9"/>
      <c r="N550" s="9"/>
      <c r="O550" s="9"/>
      <c r="P550" s="9"/>
      <c r="Q550" s="9"/>
    </row>
    <row r="551" spans="2:17" customFormat="1" hidden="1">
      <c r="B551" s="120" t="s">
        <v>1359</v>
      </c>
      <c r="C551" s="122"/>
      <c r="D551" s="8"/>
      <c r="E551" s="221"/>
      <c r="F551" s="120"/>
      <c r="G551" s="201"/>
      <c r="H551" s="158"/>
      <c r="I551" s="137"/>
      <c r="J551" s="172"/>
      <c r="K551" s="122"/>
      <c r="L551" s="195"/>
      <c r="M551" s="9"/>
      <c r="N551" s="9"/>
      <c r="O551" s="9"/>
      <c r="P551" s="9"/>
      <c r="Q551" s="9"/>
    </row>
    <row r="552" spans="2:17" customFormat="1" hidden="1">
      <c r="B552" s="120" t="s">
        <v>1360</v>
      </c>
      <c r="C552" s="122"/>
      <c r="D552" s="8"/>
      <c r="E552" s="221"/>
      <c r="F552" s="120"/>
      <c r="G552" s="201"/>
      <c r="H552" s="158"/>
      <c r="I552" s="137"/>
      <c r="J552" s="172"/>
      <c r="K552" s="122"/>
      <c r="L552" s="195"/>
      <c r="M552" s="9"/>
      <c r="N552" s="9"/>
      <c r="O552" s="9"/>
      <c r="P552" s="9"/>
      <c r="Q552" s="9"/>
    </row>
    <row r="553" spans="2:17" customFormat="1" hidden="1">
      <c r="B553" s="120" t="s">
        <v>1361</v>
      </c>
      <c r="C553" s="122"/>
      <c r="D553" s="8"/>
      <c r="E553" s="221"/>
      <c r="F553" s="120"/>
      <c r="G553" s="201"/>
      <c r="H553" s="158"/>
      <c r="I553" s="137"/>
      <c r="J553" s="172"/>
      <c r="K553" s="122"/>
      <c r="L553" s="195"/>
      <c r="M553" s="9"/>
      <c r="N553" s="9"/>
      <c r="O553" s="9"/>
      <c r="P553" s="9"/>
      <c r="Q553" s="9"/>
    </row>
    <row r="554" spans="2:17" customFormat="1" hidden="1">
      <c r="B554" s="120" t="s">
        <v>1362</v>
      </c>
      <c r="C554" s="122"/>
      <c r="D554" s="8"/>
      <c r="E554" s="221"/>
      <c r="F554" s="120"/>
      <c r="G554" s="201"/>
      <c r="H554" s="158"/>
      <c r="I554" s="137"/>
      <c r="J554" s="172"/>
      <c r="K554" s="122"/>
      <c r="L554" s="195"/>
      <c r="M554" s="9"/>
      <c r="N554" s="9"/>
      <c r="O554" s="9"/>
      <c r="P554" s="9"/>
      <c r="Q554" s="9"/>
    </row>
    <row r="555" spans="2:17" customFormat="1" hidden="1">
      <c r="B555" s="120" t="s">
        <v>1363</v>
      </c>
      <c r="C555" s="122"/>
      <c r="D555" s="8"/>
      <c r="E555" s="221"/>
      <c r="F555" s="120"/>
      <c r="G555" s="201"/>
      <c r="H555" s="158"/>
      <c r="I555" s="137"/>
      <c r="J555" s="172"/>
      <c r="K555" s="122"/>
      <c r="L555" s="195"/>
      <c r="M555" s="9"/>
      <c r="N555" s="9"/>
      <c r="O555" s="9"/>
      <c r="P555" s="9"/>
      <c r="Q555" s="9"/>
    </row>
    <row r="556" spans="2:17" customFormat="1" hidden="1">
      <c r="B556" s="120" t="s">
        <v>1364</v>
      </c>
      <c r="C556" s="122"/>
      <c r="D556" s="8"/>
      <c r="E556" s="221"/>
      <c r="F556" s="120"/>
      <c r="G556" s="201"/>
      <c r="H556" s="158"/>
      <c r="I556" s="137"/>
      <c r="J556" s="172"/>
      <c r="K556" s="122"/>
      <c r="L556" s="195"/>
      <c r="M556" s="9"/>
      <c r="N556" s="9"/>
      <c r="O556" s="9"/>
      <c r="P556" s="9"/>
      <c r="Q556" s="9"/>
    </row>
    <row r="557" spans="2:17" customFormat="1" hidden="1">
      <c r="B557" s="120" t="s">
        <v>1365</v>
      </c>
      <c r="C557" s="122"/>
      <c r="D557" s="8"/>
      <c r="E557" s="221"/>
      <c r="F557" s="120"/>
      <c r="G557" s="201"/>
      <c r="H557" s="158"/>
      <c r="I557" s="137"/>
      <c r="J557" s="172"/>
      <c r="K557" s="122"/>
      <c r="L557" s="195"/>
      <c r="M557" s="9"/>
      <c r="N557" s="9"/>
      <c r="O557" s="9"/>
      <c r="P557" s="9"/>
      <c r="Q557" s="9"/>
    </row>
    <row r="558" spans="2:17" customFormat="1" hidden="1">
      <c r="B558" s="120" t="s">
        <v>1366</v>
      </c>
      <c r="C558" s="122"/>
      <c r="D558" s="8"/>
      <c r="E558" s="221"/>
      <c r="F558" s="120"/>
      <c r="G558" s="201"/>
      <c r="H558" s="158"/>
      <c r="I558" s="137"/>
      <c r="J558" s="172"/>
      <c r="K558" s="122"/>
      <c r="L558" s="195"/>
      <c r="M558" s="9"/>
      <c r="N558" s="9"/>
      <c r="O558" s="9"/>
      <c r="P558" s="9"/>
      <c r="Q558" s="9"/>
    </row>
    <row r="559" spans="2:17" customFormat="1" hidden="1">
      <c r="B559" s="120" t="s">
        <v>1367</v>
      </c>
      <c r="C559" s="122"/>
      <c r="D559" s="8"/>
      <c r="E559" s="221"/>
      <c r="F559" s="120"/>
      <c r="G559" s="201"/>
      <c r="H559" s="158"/>
      <c r="I559" s="137"/>
      <c r="J559" s="172"/>
      <c r="K559" s="122"/>
      <c r="L559" s="195"/>
      <c r="M559" s="9"/>
      <c r="N559" s="9"/>
      <c r="O559" s="9"/>
      <c r="P559" s="9"/>
      <c r="Q559" s="9"/>
    </row>
    <row r="560" spans="2:17" customFormat="1" hidden="1">
      <c r="B560" s="120" t="s">
        <v>1457</v>
      </c>
      <c r="C560" s="122"/>
      <c r="D560" s="8"/>
      <c r="E560" s="221"/>
      <c r="F560" s="120"/>
      <c r="G560" s="201"/>
      <c r="H560" s="158"/>
      <c r="I560" s="137"/>
      <c r="J560" s="172"/>
      <c r="K560" s="122"/>
      <c r="L560" s="195"/>
      <c r="M560" s="9"/>
      <c r="N560" s="9"/>
      <c r="O560" s="9"/>
      <c r="P560" s="9"/>
      <c r="Q560" s="9"/>
    </row>
    <row r="561" spans="2:17" customFormat="1" hidden="1">
      <c r="B561" s="120" t="s">
        <v>1469</v>
      </c>
      <c r="C561" s="122"/>
      <c r="D561" s="8"/>
      <c r="E561" s="221"/>
      <c r="F561" s="120"/>
      <c r="G561" s="201"/>
      <c r="H561" s="158"/>
      <c r="I561" s="137"/>
      <c r="J561" s="172"/>
      <c r="K561" s="122"/>
      <c r="L561" s="195"/>
      <c r="M561" s="9"/>
      <c r="N561" s="9"/>
      <c r="O561" s="9"/>
      <c r="P561" s="9"/>
      <c r="Q561" s="9"/>
    </row>
    <row r="562" spans="2:17" customFormat="1" hidden="1">
      <c r="B562" s="120" t="s">
        <v>1470</v>
      </c>
      <c r="C562" s="42"/>
      <c r="D562" s="173"/>
      <c r="E562" s="42"/>
      <c r="F562" s="174"/>
      <c r="G562" s="203"/>
      <c r="H562" s="175"/>
      <c r="I562" s="176"/>
      <c r="J562" s="177"/>
      <c r="K562" s="42"/>
      <c r="L562" s="195"/>
      <c r="M562" s="9"/>
      <c r="N562" s="9"/>
      <c r="O562" s="9"/>
      <c r="P562" s="9"/>
      <c r="Q562" s="9"/>
    </row>
    <row r="563" spans="2:17" customFormat="1" hidden="1">
      <c r="B563" s="120" t="s">
        <v>1471</v>
      </c>
      <c r="C563" s="42"/>
      <c r="D563" s="173"/>
      <c r="E563" s="221"/>
      <c r="F563" s="174"/>
      <c r="G563" s="203"/>
      <c r="H563" s="175"/>
      <c r="I563" s="176"/>
      <c r="J563" s="177"/>
      <c r="K563" s="42"/>
      <c r="L563" s="195"/>
      <c r="M563" s="9"/>
      <c r="N563" s="9"/>
      <c r="O563" s="9"/>
      <c r="P563" s="9"/>
      <c r="Q563" s="9"/>
    </row>
    <row r="564" spans="2:17" customFormat="1" hidden="1">
      <c r="B564" s="120" t="s">
        <v>1472</v>
      </c>
      <c r="C564" s="42"/>
      <c r="D564" s="8"/>
      <c r="E564" s="221"/>
      <c r="F564" s="120"/>
      <c r="G564" s="201"/>
      <c r="H564" s="158"/>
      <c r="I564" s="137"/>
      <c r="J564" s="172"/>
      <c r="K564" s="121"/>
      <c r="L564" s="195"/>
      <c r="M564" s="9"/>
      <c r="N564" s="9"/>
      <c r="O564" s="9"/>
      <c r="P564" s="9"/>
      <c r="Q564" s="9"/>
    </row>
    <row r="565" spans="2:17" customFormat="1" hidden="1">
      <c r="B565" s="120" t="s">
        <v>1473</v>
      </c>
      <c r="C565" s="42"/>
      <c r="D565" s="173"/>
      <c r="E565" s="221"/>
      <c r="F565" s="174"/>
      <c r="G565" s="203"/>
      <c r="H565" s="175"/>
      <c r="I565" s="176"/>
      <c r="J565" s="177"/>
      <c r="K565" s="42"/>
      <c r="L565" s="195"/>
      <c r="M565" s="9"/>
      <c r="N565" s="9"/>
      <c r="O565" s="9"/>
      <c r="P565" s="9"/>
      <c r="Q565" s="9"/>
    </row>
    <row r="566" spans="2:17" customFormat="1" hidden="1">
      <c r="B566" s="120" t="s">
        <v>1474</v>
      </c>
      <c r="C566" s="42"/>
      <c r="D566" s="173"/>
      <c r="E566" s="221"/>
      <c r="F566" s="174"/>
      <c r="G566" s="203"/>
      <c r="H566" s="175"/>
      <c r="I566" s="176"/>
      <c r="J566" s="177"/>
      <c r="K566" s="42"/>
      <c r="L566" s="195"/>
      <c r="M566" s="9"/>
      <c r="N566" s="9"/>
      <c r="O566" s="9"/>
      <c r="P566" s="9"/>
      <c r="Q566" s="9"/>
    </row>
    <row r="567" spans="2:17" customFormat="1" hidden="1">
      <c r="B567" s="120" t="s">
        <v>2294</v>
      </c>
      <c r="C567" s="42"/>
      <c r="D567" s="173"/>
      <c r="E567" s="221"/>
      <c r="F567" s="174"/>
      <c r="G567" s="203"/>
      <c r="H567" s="120"/>
      <c r="I567" s="176"/>
      <c r="J567" s="177"/>
      <c r="K567" s="42"/>
      <c r="L567" s="195"/>
      <c r="M567" s="9"/>
      <c r="N567" s="9"/>
      <c r="O567" s="9"/>
      <c r="P567" s="9"/>
      <c r="Q567" s="9"/>
    </row>
    <row r="568" spans="2:17" customFormat="1" hidden="1">
      <c r="B568" s="120" t="s">
        <v>1516</v>
      </c>
      <c r="C568" s="42"/>
      <c r="D568" s="173"/>
      <c r="E568" s="42"/>
      <c r="F568" s="174"/>
      <c r="G568" s="203"/>
      <c r="H568" s="175"/>
      <c r="I568" s="176"/>
      <c r="J568" s="177"/>
      <c r="K568" s="42"/>
      <c r="L568" s="195"/>
      <c r="M568" s="9"/>
      <c r="N568" s="9"/>
      <c r="O568" s="9"/>
      <c r="P568" s="9"/>
      <c r="Q568" s="9"/>
    </row>
    <row r="569" spans="2:17" customFormat="1" hidden="1">
      <c r="B569" s="120" t="s">
        <v>1517</v>
      </c>
      <c r="C569" s="42"/>
      <c r="D569" s="173"/>
      <c r="E569" s="221"/>
      <c r="F569" s="174"/>
      <c r="G569" s="203"/>
      <c r="H569" s="175"/>
      <c r="I569" s="176"/>
      <c r="J569" s="177"/>
      <c r="K569" s="42"/>
      <c r="L569" s="195"/>
      <c r="M569" s="9"/>
      <c r="N569" s="9"/>
      <c r="O569" s="9"/>
      <c r="P569" s="9"/>
      <c r="Q569" s="9"/>
    </row>
    <row r="570" spans="2:17" customFormat="1" hidden="1">
      <c r="B570" s="120" t="s">
        <v>1518</v>
      </c>
      <c r="C570" s="42"/>
      <c r="D570" s="173"/>
      <c r="E570" s="42"/>
      <c r="F570" s="174"/>
      <c r="G570" s="203"/>
      <c r="H570" s="175"/>
      <c r="I570" s="176"/>
      <c r="J570" s="177"/>
      <c r="K570" s="42"/>
      <c r="L570" s="195"/>
      <c r="M570" s="9"/>
      <c r="N570" s="9"/>
      <c r="O570" s="9"/>
      <c r="P570" s="9"/>
      <c r="Q570" s="9"/>
    </row>
    <row r="571" spans="2:17" customFormat="1" hidden="1">
      <c r="B571" s="120" t="s">
        <v>1519</v>
      </c>
      <c r="C571" s="42"/>
      <c r="D571" s="173"/>
      <c r="E571" s="42"/>
      <c r="F571" s="174"/>
      <c r="G571" s="203"/>
      <c r="H571" s="158"/>
      <c r="I571" s="176"/>
      <c r="J571" s="172"/>
      <c r="K571" s="42"/>
      <c r="L571" s="195"/>
      <c r="M571" s="9"/>
      <c r="N571" s="9"/>
      <c r="O571" s="9"/>
      <c r="P571" s="9"/>
      <c r="Q571" s="9"/>
    </row>
    <row r="572" spans="2:17" customFormat="1" hidden="1">
      <c r="B572" s="120" t="s">
        <v>1520</v>
      </c>
      <c r="C572" s="42"/>
      <c r="D572" s="173"/>
      <c r="E572" s="221"/>
      <c r="F572" s="174"/>
      <c r="G572" s="203"/>
      <c r="H572" s="120"/>
      <c r="I572" s="176"/>
      <c r="J572" s="172"/>
      <c r="K572" s="122"/>
      <c r="L572" s="195"/>
      <c r="M572" s="9"/>
      <c r="N572" s="9"/>
      <c r="O572" s="9"/>
      <c r="P572" s="9"/>
      <c r="Q572" s="9"/>
    </row>
    <row r="573" spans="2:17" customFormat="1" hidden="1">
      <c r="B573" s="120" t="s">
        <v>2295</v>
      </c>
      <c r="C573" s="122"/>
      <c r="D573" s="8"/>
      <c r="E573" s="221"/>
      <c r="F573" s="120"/>
      <c r="G573" s="201"/>
      <c r="H573" s="120"/>
      <c r="I573" s="137"/>
      <c r="J573" s="172"/>
      <c r="K573" s="121"/>
      <c r="L573" s="195"/>
      <c r="M573" s="9"/>
      <c r="N573" s="9"/>
      <c r="O573" s="9"/>
      <c r="P573" s="9"/>
      <c r="Q573" s="9"/>
    </row>
    <row r="574" spans="2:17" customFormat="1" hidden="1">
      <c r="B574" s="120" t="s">
        <v>2296</v>
      </c>
      <c r="C574" s="122"/>
      <c r="D574" s="8"/>
      <c r="E574" s="221"/>
      <c r="F574" s="120"/>
      <c r="G574" s="201"/>
      <c r="H574" s="158"/>
      <c r="I574" s="137"/>
      <c r="J574" s="172"/>
      <c r="K574" s="122"/>
      <c r="L574" s="195"/>
      <c r="M574" s="9"/>
      <c r="N574" s="9"/>
      <c r="O574" s="9"/>
      <c r="P574" s="9"/>
      <c r="Q574" s="9"/>
    </row>
    <row r="575" spans="2:17" customFormat="1" hidden="1">
      <c r="B575" s="120" t="s">
        <v>2297</v>
      </c>
      <c r="C575" s="42"/>
      <c r="D575" s="173"/>
      <c r="E575" s="221"/>
      <c r="F575" s="174"/>
      <c r="G575" s="203"/>
      <c r="H575" s="115"/>
      <c r="I575" s="176"/>
      <c r="J575" s="122"/>
      <c r="K575" s="122"/>
      <c r="L575" s="195"/>
      <c r="M575" s="9"/>
      <c r="N575" s="9"/>
      <c r="O575" s="9"/>
      <c r="P575" s="9"/>
      <c r="Q575" s="9"/>
    </row>
    <row r="576" spans="2:17" customFormat="1" hidden="1">
      <c r="B576" s="120" t="s">
        <v>2298</v>
      </c>
      <c r="C576" s="42"/>
      <c r="D576" s="173"/>
      <c r="E576" s="221"/>
      <c r="F576" s="174"/>
      <c r="G576" s="203"/>
      <c r="H576" s="344"/>
      <c r="I576" s="176"/>
      <c r="J576" s="122"/>
      <c r="K576" s="122"/>
      <c r="L576" s="195"/>
      <c r="M576" s="9"/>
      <c r="N576" s="9"/>
      <c r="O576" s="9"/>
      <c r="P576" s="9"/>
      <c r="Q576" s="9"/>
    </row>
    <row r="577" spans="2:17" customFormat="1" hidden="1">
      <c r="B577" s="120" t="s">
        <v>2299</v>
      </c>
      <c r="C577" s="42"/>
      <c r="D577" s="173"/>
      <c r="E577" s="221"/>
      <c r="F577" s="174"/>
      <c r="G577" s="203"/>
      <c r="H577" s="158"/>
      <c r="I577" s="176"/>
      <c r="J577" s="122"/>
      <c r="K577" s="122"/>
      <c r="L577" s="195"/>
      <c r="M577" s="9"/>
      <c r="N577" s="9"/>
      <c r="O577" s="9"/>
      <c r="P577" s="9"/>
      <c r="Q577" s="9"/>
    </row>
    <row r="578" spans="2:17" customFormat="1" hidden="1">
      <c r="B578" s="120" t="s">
        <v>2300</v>
      </c>
      <c r="C578" s="42"/>
      <c r="D578" s="173"/>
      <c r="E578" s="221"/>
      <c r="F578" s="174"/>
      <c r="G578" s="203"/>
      <c r="H578" s="115"/>
      <c r="I578" s="176"/>
      <c r="J578" s="122"/>
      <c r="K578" s="122"/>
      <c r="L578" s="195"/>
      <c r="M578" s="9"/>
      <c r="N578" s="9"/>
      <c r="O578" s="9"/>
      <c r="P578" s="9"/>
      <c r="Q578" s="9"/>
    </row>
    <row r="579" spans="2:17" customFormat="1" hidden="1">
      <c r="D579" s="227"/>
      <c r="E579" s="69"/>
      <c r="F579" s="69"/>
      <c r="G579" s="334"/>
      <c r="H579" s="347"/>
      <c r="K579" s="228"/>
      <c r="L579" s="2"/>
    </row>
  </sheetData>
  <autoFilter ref="C7:K579">
    <filterColumn colId="4">
      <filters>
        <filter val="HAN.01."/>
      </filters>
    </filterColumn>
  </autoFilter>
  <mergeCells count="12">
    <mergeCell ref="K7:K8"/>
    <mergeCell ref="J7:J8"/>
    <mergeCell ref="C3:J3"/>
    <mergeCell ref="C4:J4"/>
    <mergeCell ref="C5:J5"/>
    <mergeCell ref="G7:G8"/>
    <mergeCell ref="H7:H8"/>
    <mergeCell ref="B7:B8"/>
    <mergeCell ref="C7:C8"/>
    <mergeCell ref="D7:D8"/>
    <mergeCell ref="E7:E8"/>
    <mergeCell ref="F7:F8"/>
  </mergeCells>
  <hyperlinks>
    <hyperlink ref="G142" r:id="rId1" display="https://www.kwalifikacjezawodowe.info/s/5132/81361-Zawody-i-kwalifikacje-formula-2019.htm?c1=64696"/>
  </hyperlinks>
  <pageMargins left="0.7" right="0.7" top="0.75" bottom="0.75" header="0.3" footer="0.3"/>
  <pageSetup paperSize="9" scale="28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04"/>
  <sheetViews>
    <sheetView topLeftCell="D4" zoomScale="74" zoomScaleNormal="70" zoomScaleSheetLayoutView="100" zoomScalePageLayoutView="70" workbookViewId="0">
      <selection activeCell="K363" sqref="K363"/>
    </sheetView>
  </sheetViews>
  <sheetFormatPr defaultColWidth="8.85546875" defaultRowHeight="15"/>
  <cols>
    <col min="1" max="1" width="8.85546875" style="2"/>
    <col min="2" max="2" width="6.42578125" style="2" customWidth="1"/>
    <col min="3" max="3" width="101.85546875" style="399" bestFit="1" customWidth="1"/>
    <col min="4" max="4" width="19.28515625" style="2" bestFit="1" customWidth="1"/>
    <col min="5" max="5" width="67.42578125" style="2" bestFit="1" customWidth="1"/>
    <col min="6" max="6" width="15.140625" style="166" bestFit="1" customWidth="1"/>
    <col min="7" max="7" width="11" style="166" bestFit="1" customWidth="1"/>
    <col min="8" max="8" width="29.140625" style="166" customWidth="1"/>
    <col min="9" max="9" width="14.140625" style="382" bestFit="1" customWidth="1"/>
    <col min="10" max="10" width="111.7109375" style="2" customWidth="1"/>
    <col min="11" max="11" width="26.5703125" style="2" customWidth="1"/>
    <col min="12" max="12" width="3.85546875" style="2" hidden="1" customWidth="1"/>
    <col min="13" max="13" width="3.5703125" style="2" hidden="1" customWidth="1"/>
    <col min="14" max="14" width="4" style="2" hidden="1" customWidth="1"/>
    <col min="15" max="15" width="4.28515625" style="2" hidden="1" customWidth="1"/>
    <col min="16" max="16" width="3.7109375" style="2" hidden="1" customWidth="1"/>
    <col min="17" max="17" width="4.140625" style="2" hidden="1" customWidth="1"/>
    <col min="18" max="18" width="9.140625" style="2" customWidth="1"/>
    <col min="19" max="16384" width="8.85546875" style="2"/>
  </cols>
  <sheetData>
    <row r="2" spans="2:17">
      <c r="E2" s="83">
        <f ca="1">NOW()</f>
        <v>44169.164513310185</v>
      </c>
    </row>
    <row r="3" spans="2:17" ht="18.75">
      <c r="C3" s="430" t="s">
        <v>25</v>
      </c>
      <c r="D3" s="421"/>
      <c r="E3" s="421"/>
      <c r="F3" s="421"/>
      <c r="G3" s="421"/>
      <c r="H3" s="421"/>
      <c r="I3" s="431"/>
      <c r="J3" s="421"/>
    </row>
    <row r="4" spans="2:17" ht="23.25">
      <c r="C4" s="430" t="s">
        <v>2381</v>
      </c>
      <c r="D4" s="422"/>
      <c r="E4" s="422"/>
      <c r="F4" s="422"/>
      <c r="G4" s="422"/>
      <c r="H4" s="422"/>
      <c r="I4" s="432"/>
      <c r="J4" s="422"/>
    </row>
    <row r="5" spans="2:17" ht="18.75">
      <c r="C5" s="430" t="s">
        <v>29</v>
      </c>
      <c r="D5" s="422"/>
      <c r="E5" s="422"/>
      <c r="F5" s="422"/>
      <c r="G5" s="422"/>
      <c r="H5" s="422"/>
      <c r="I5" s="432"/>
      <c r="J5" s="422"/>
    </row>
    <row r="6" spans="2:17">
      <c r="I6" s="373">
        <f>SUM(I9:I776)</f>
        <v>2924</v>
      </c>
    </row>
    <row r="7" spans="2:17" ht="30" customHeight="1">
      <c r="B7" s="425" t="s">
        <v>0</v>
      </c>
      <c r="C7" s="427" t="s">
        <v>30</v>
      </c>
      <c r="D7" s="417" t="s">
        <v>48</v>
      </c>
      <c r="E7" s="425" t="s">
        <v>1</v>
      </c>
      <c r="F7" s="426" t="s">
        <v>2</v>
      </c>
      <c r="G7" s="426" t="s">
        <v>4</v>
      </c>
      <c r="H7" s="426" t="s">
        <v>3</v>
      </c>
      <c r="I7" s="374" t="s">
        <v>27</v>
      </c>
      <c r="J7" s="433" t="s">
        <v>26</v>
      </c>
      <c r="K7" s="417" t="s">
        <v>2350</v>
      </c>
      <c r="L7" s="67" t="s">
        <v>580</v>
      </c>
      <c r="M7" s="10" t="s">
        <v>581</v>
      </c>
      <c r="N7" s="66" t="s">
        <v>582</v>
      </c>
      <c r="O7" s="66" t="s">
        <v>583</v>
      </c>
      <c r="P7" s="66" t="s">
        <v>588</v>
      </c>
      <c r="Q7" s="115" t="s">
        <v>1173</v>
      </c>
    </row>
    <row r="8" spans="2:17">
      <c r="B8" s="425"/>
      <c r="C8" s="428"/>
      <c r="D8" s="418"/>
      <c r="E8" s="425"/>
      <c r="F8" s="426"/>
      <c r="G8" s="426"/>
      <c r="H8" s="426"/>
      <c r="I8" s="375">
        <v>2</v>
      </c>
      <c r="J8" s="433"/>
      <c r="K8" s="429"/>
      <c r="L8" s="17"/>
      <c r="M8" s="10"/>
      <c r="N8" s="10"/>
      <c r="O8" s="10"/>
      <c r="P8" s="10"/>
    </row>
    <row r="9" spans="2:17" customFormat="1" ht="15" customHeight="1">
      <c r="B9" s="5" t="s">
        <v>5</v>
      </c>
      <c r="C9" s="16" t="s">
        <v>32</v>
      </c>
      <c r="D9" s="5" t="s">
        <v>49</v>
      </c>
      <c r="E9" s="130" t="s">
        <v>33</v>
      </c>
      <c r="F9" s="119">
        <v>752205</v>
      </c>
      <c r="G9" s="119" t="s">
        <v>69</v>
      </c>
      <c r="H9" s="119" t="s">
        <v>1343</v>
      </c>
      <c r="I9" s="145">
        <v>2</v>
      </c>
      <c r="J9" s="141" t="s">
        <v>59</v>
      </c>
      <c r="K9" s="122" t="s">
        <v>105</v>
      </c>
      <c r="L9" s="19"/>
      <c r="M9" s="7"/>
      <c r="N9" s="7"/>
      <c r="O9" s="7"/>
      <c r="P9" s="7"/>
      <c r="Q9" s="7"/>
    </row>
    <row r="10" spans="2:17" customFormat="1" ht="15" customHeight="1">
      <c r="B10" s="5" t="s">
        <v>6</v>
      </c>
      <c r="C10" s="16" t="s">
        <v>32</v>
      </c>
      <c r="D10" s="5" t="s">
        <v>49</v>
      </c>
      <c r="E10" s="283" t="s">
        <v>34</v>
      </c>
      <c r="F10" s="119">
        <v>723103</v>
      </c>
      <c r="G10" s="119" t="s">
        <v>75</v>
      </c>
      <c r="H10" s="133" t="s">
        <v>1332</v>
      </c>
      <c r="I10" s="131">
        <v>4</v>
      </c>
      <c r="J10" s="7" t="s">
        <v>1485</v>
      </c>
      <c r="K10" s="122" t="s">
        <v>35</v>
      </c>
      <c r="L10" s="20"/>
      <c r="M10" s="7"/>
      <c r="N10" s="7"/>
      <c r="O10" s="43"/>
      <c r="P10" s="7"/>
      <c r="Q10" s="7"/>
    </row>
    <row r="11" spans="2:17" customFormat="1" ht="15" customHeight="1">
      <c r="B11" s="5" t="s">
        <v>7</v>
      </c>
      <c r="C11" s="16" t="s">
        <v>32</v>
      </c>
      <c r="D11" s="5" t="s">
        <v>49</v>
      </c>
      <c r="E11" s="130" t="s">
        <v>36</v>
      </c>
      <c r="F11" s="119">
        <v>414101</v>
      </c>
      <c r="G11" s="119" t="s">
        <v>77</v>
      </c>
      <c r="H11" s="133" t="s">
        <v>1334</v>
      </c>
      <c r="I11" s="131">
        <v>1</v>
      </c>
      <c r="J11" s="7" t="s">
        <v>1485</v>
      </c>
      <c r="K11" s="122" t="s">
        <v>35</v>
      </c>
      <c r="L11" s="20"/>
      <c r="M11" s="7"/>
      <c r="N11" s="7"/>
      <c r="O11" s="43"/>
      <c r="P11" s="7"/>
      <c r="Q11" s="7"/>
    </row>
    <row r="12" spans="2:17" customFormat="1" ht="15" customHeight="1">
      <c r="B12" s="5" t="s">
        <v>8</v>
      </c>
      <c r="C12" s="16" t="s">
        <v>42</v>
      </c>
      <c r="D12" s="5" t="s">
        <v>50</v>
      </c>
      <c r="E12" s="207" t="s">
        <v>44</v>
      </c>
      <c r="F12" s="119">
        <v>512001</v>
      </c>
      <c r="G12" s="6" t="s">
        <v>81</v>
      </c>
      <c r="H12" s="133" t="s">
        <v>1344</v>
      </c>
      <c r="I12" s="145">
        <v>2</v>
      </c>
      <c r="J12" s="141" t="s">
        <v>59</v>
      </c>
      <c r="K12" s="122" t="s">
        <v>105</v>
      </c>
      <c r="L12" s="19"/>
      <c r="M12" s="7"/>
      <c r="N12" s="7"/>
      <c r="O12" s="7"/>
      <c r="P12" s="7"/>
      <c r="Q12" s="7"/>
    </row>
    <row r="13" spans="2:17" customFormat="1" ht="15" customHeight="1">
      <c r="B13" s="5" t="s">
        <v>9</v>
      </c>
      <c r="C13" s="16" t="s">
        <v>42</v>
      </c>
      <c r="D13" s="5" t="s">
        <v>50</v>
      </c>
      <c r="E13" s="283" t="s">
        <v>36</v>
      </c>
      <c r="F13" s="119">
        <v>514101</v>
      </c>
      <c r="G13" s="119" t="s">
        <v>77</v>
      </c>
      <c r="H13" s="119" t="s">
        <v>1345</v>
      </c>
      <c r="I13" s="145">
        <v>1</v>
      </c>
      <c r="J13" s="141" t="s">
        <v>59</v>
      </c>
      <c r="K13" s="122" t="s">
        <v>105</v>
      </c>
      <c r="L13" s="19"/>
      <c r="M13" s="7"/>
      <c r="N13" s="7"/>
      <c r="O13" s="7"/>
      <c r="P13" s="7"/>
      <c r="Q13" s="7"/>
    </row>
    <row r="14" spans="2:17" customFormat="1" ht="15" customHeight="1">
      <c r="B14" s="5" t="s">
        <v>10</v>
      </c>
      <c r="C14" s="16" t="s">
        <v>42</v>
      </c>
      <c r="D14" s="5" t="s">
        <v>50</v>
      </c>
      <c r="E14" s="283" t="s">
        <v>45</v>
      </c>
      <c r="F14" s="119">
        <v>522301</v>
      </c>
      <c r="G14" s="119" t="s">
        <v>43</v>
      </c>
      <c r="H14" s="119" t="s">
        <v>1348</v>
      </c>
      <c r="I14" s="376">
        <v>0</v>
      </c>
      <c r="J14" s="141" t="s">
        <v>59</v>
      </c>
      <c r="K14" s="122" t="s">
        <v>105</v>
      </c>
      <c r="L14" s="19"/>
      <c r="M14" s="7"/>
      <c r="N14" s="7"/>
      <c r="O14" s="7"/>
      <c r="P14" s="7"/>
      <c r="Q14" s="7"/>
    </row>
    <row r="15" spans="2:17" customFormat="1" ht="15" customHeight="1">
      <c r="B15" s="5" t="s">
        <v>11</v>
      </c>
      <c r="C15" s="16" t="s">
        <v>42</v>
      </c>
      <c r="D15" s="5" t="s">
        <v>50</v>
      </c>
      <c r="E15" s="130" t="s">
        <v>46</v>
      </c>
      <c r="F15" s="119">
        <v>741201</v>
      </c>
      <c r="G15" s="119" t="s">
        <v>182</v>
      </c>
      <c r="H15" s="119" t="s">
        <v>1344</v>
      </c>
      <c r="I15" s="131">
        <v>13</v>
      </c>
      <c r="J15" s="141" t="s">
        <v>61</v>
      </c>
      <c r="K15" s="121" t="s">
        <v>851</v>
      </c>
      <c r="L15" s="20"/>
      <c r="M15" s="7"/>
      <c r="N15" s="7"/>
      <c r="O15" s="7"/>
      <c r="P15" s="7"/>
      <c r="Q15" s="7"/>
    </row>
    <row r="16" spans="2:17" customFormat="1" ht="15" customHeight="1">
      <c r="B16" s="5" t="s">
        <v>12</v>
      </c>
      <c r="C16" s="16" t="s">
        <v>47</v>
      </c>
      <c r="D16" s="5" t="s">
        <v>51</v>
      </c>
      <c r="E16" s="130" t="s">
        <v>52</v>
      </c>
      <c r="F16" s="119">
        <v>721306</v>
      </c>
      <c r="G16" s="119" t="s">
        <v>63</v>
      </c>
      <c r="H16" s="119" t="s">
        <v>2394</v>
      </c>
      <c r="I16" s="145">
        <v>1</v>
      </c>
      <c r="J16" s="141" t="s">
        <v>59</v>
      </c>
      <c r="K16" s="122" t="s">
        <v>105</v>
      </c>
      <c r="L16" s="21"/>
      <c r="M16" s="7"/>
      <c r="N16" s="7"/>
      <c r="O16" s="7"/>
      <c r="P16" s="7"/>
      <c r="Q16" s="7"/>
    </row>
    <row r="17" spans="2:17" customFormat="1" ht="15" customHeight="1">
      <c r="B17" s="5" t="s">
        <v>13</v>
      </c>
      <c r="C17" s="16" t="s">
        <v>47</v>
      </c>
      <c r="D17" s="5" t="s">
        <v>51</v>
      </c>
      <c r="E17" s="130" t="s">
        <v>53</v>
      </c>
      <c r="F17" s="119">
        <v>741203</v>
      </c>
      <c r="G17" s="119" t="s">
        <v>64</v>
      </c>
      <c r="H17" s="119" t="s">
        <v>1349</v>
      </c>
      <c r="I17" s="145">
        <v>9</v>
      </c>
      <c r="J17" s="141" t="s">
        <v>59</v>
      </c>
      <c r="K17" s="122" t="s">
        <v>105</v>
      </c>
      <c r="L17" s="21"/>
      <c r="M17" s="7"/>
      <c r="N17" s="7"/>
      <c r="O17" s="7"/>
      <c r="P17" s="7"/>
      <c r="Q17" s="7"/>
    </row>
    <row r="18" spans="2:17" customFormat="1" ht="15" customHeight="1">
      <c r="B18" s="5" t="s">
        <v>14</v>
      </c>
      <c r="C18" s="16" t="s">
        <v>47</v>
      </c>
      <c r="D18" s="5" t="s">
        <v>51</v>
      </c>
      <c r="E18" s="130" t="s">
        <v>38</v>
      </c>
      <c r="F18" s="119">
        <v>741103</v>
      </c>
      <c r="G18" s="119" t="s">
        <v>54</v>
      </c>
      <c r="H18" s="119" t="s">
        <v>1350</v>
      </c>
      <c r="I18" s="145">
        <v>4</v>
      </c>
      <c r="J18" s="141" t="s">
        <v>59</v>
      </c>
      <c r="K18" s="122" t="s">
        <v>105</v>
      </c>
      <c r="L18" s="21"/>
      <c r="M18" s="7"/>
      <c r="N18" s="7"/>
      <c r="O18" s="7"/>
      <c r="P18" s="7"/>
      <c r="Q18" s="7"/>
    </row>
    <row r="19" spans="2:17" customFormat="1" ht="15" customHeight="1">
      <c r="B19" s="5" t="s">
        <v>15</v>
      </c>
      <c r="C19" s="16" t="s">
        <v>47</v>
      </c>
      <c r="D19" s="5" t="s">
        <v>51</v>
      </c>
      <c r="E19" s="130" t="s">
        <v>55</v>
      </c>
      <c r="F19" s="119">
        <v>343101</v>
      </c>
      <c r="G19" s="119" t="s">
        <v>65</v>
      </c>
      <c r="H19" s="119"/>
      <c r="I19" s="131">
        <v>2</v>
      </c>
      <c r="J19" s="141" t="s">
        <v>60</v>
      </c>
      <c r="K19" s="413" t="s">
        <v>850</v>
      </c>
      <c r="L19" s="22"/>
      <c r="M19" s="7"/>
      <c r="N19" s="7"/>
      <c r="O19" s="7"/>
      <c r="P19" s="7"/>
      <c r="Q19" s="7"/>
    </row>
    <row r="20" spans="2:17" customFormat="1" ht="15" customHeight="1">
      <c r="B20" s="5" t="s">
        <v>16</v>
      </c>
      <c r="C20" s="16" t="s">
        <v>47</v>
      </c>
      <c r="D20" s="5" t="s">
        <v>51</v>
      </c>
      <c r="E20" s="130" t="s">
        <v>1435</v>
      </c>
      <c r="F20" s="119">
        <v>713203</v>
      </c>
      <c r="G20" s="119" t="s">
        <v>66</v>
      </c>
      <c r="H20" s="119" t="s">
        <v>1344</v>
      </c>
      <c r="I20" s="145">
        <v>6</v>
      </c>
      <c r="J20" s="141" t="s">
        <v>59</v>
      </c>
      <c r="K20" s="122" t="s">
        <v>105</v>
      </c>
      <c r="L20" s="21"/>
      <c r="M20" s="7"/>
      <c r="N20" s="7"/>
      <c r="O20" s="7"/>
      <c r="P20" s="7"/>
      <c r="Q20" s="7"/>
    </row>
    <row r="21" spans="2:17" customFormat="1" ht="15" customHeight="1">
      <c r="B21" s="5" t="s">
        <v>17</v>
      </c>
      <c r="C21" s="16" t="s">
        <v>47</v>
      </c>
      <c r="D21" s="5" t="s">
        <v>51</v>
      </c>
      <c r="E21" s="130" t="s">
        <v>56</v>
      </c>
      <c r="F21" s="119">
        <v>712905</v>
      </c>
      <c r="G21" s="119" t="s">
        <v>67</v>
      </c>
      <c r="H21" s="119" t="s">
        <v>1345</v>
      </c>
      <c r="I21" s="131">
        <v>5</v>
      </c>
      <c r="J21" s="141" t="s">
        <v>61</v>
      </c>
      <c r="K21" s="121" t="s">
        <v>851</v>
      </c>
      <c r="L21" s="22"/>
      <c r="M21" s="7"/>
      <c r="N21" s="7"/>
      <c r="O21" s="7"/>
      <c r="P21" s="7"/>
      <c r="Q21" s="7"/>
    </row>
    <row r="22" spans="2:17" customFormat="1" ht="15" customHeight="1">
      <c r="B22" s="5" t="s">
        <v>18</v>
      </c>
      <c r="C22" s="16" t="s">
        <v>47</v>
      </c>
      <c r="D22" s="5" t="s">
        <v>51</v>
      </c>
      <c r="E22" s="130" t="s">
        <v>57</v>
      </c>
      <c r="F22" s="119">
        <v>751204</v>
      </c>
      <c r="G22" s="119" t="s">
        <v>68</v>
      </c>
      <c r="H22" s="119" t="s">
        <v>1348</v>
      </c>
      <c r="I22" s="145">
        <v>3</v>
      </c>
      <c r="J22" s="141" t="s">
        <v>59</v>
      </c>
      <c r="K22" s="122" t="s">
        <v>105</v>
      </c>
      <c r="L22" s="21"/>
      <c r="M22" s="7"/>
      <c r="N22" s="7"/>
      <c r="O22" s="7"/>
      <c r="P22" s="7"/>
      <c r="Q22" s="7"/>
    </row>
    <row r="23" spans="2:17" customFormat="1" ht="15" customHeight="1">
      <c r="B23" s="5" t="s">
        <v>19</v>
      </c>
      <c r="C23" s="16" t="s">
        <v>47</v>
      </c>
      <c r="D23" s="5" t="s">
        <v>51</v>
      </c>
      <c r="E23" s="130" t="s">
        <v>33</v>
      </c>
      <c r="F23" s="119">
        <v>752205</v>
      </c>
      <c r="G23" s="119" t="s">
        <v>69</v>
      </c>
      <c r="H23" s="119" t="s">
        <v>1343</v>
      </c>
      <c r="I23" s="145">
        <v>9</v>
      </c>
      <c r="J23" s="141" t="s">
        <v>59</v>
      </c>
      <c r="K23" s="122" t="s">
        <v>105</v>
      </c>
      <c r="L23" s="21"/>
      <c r="M23" s="7"/>
      <c r="N23" s="7"/>
      <c r="O23" s="7"/>
      <c r="P23" s="7"/>
      <c r="Q23" s="7"/>
    </row>
    <row r="24" spans="2:17" customFormat="1" ht="15" customHeight="1">
      <c r="B24" s="5" t="s">
        <v>20</v>
      </c>
      <c r="C24" s="16" t="s">
        <v>47</v>
      </c>
      <c r="D24" s="5" t="s">
        <v>51</v>
      </c>
      <c r="E24" s="130" t="s">
        <v>58</v>
      </c>
      <c r="F24" s="119">
        <v>753106</v>
      </c>
      <c r="G24" s="119" t="s">
        <v>70</v>
      </c>
      <c r="H24" s="119"/>
      <c r="I24" s="131">
        <v>1</v>
      </c>
      <c r="J24" s="141" t="s">
        <v>1177</v>
      </c>
      <c r="K24" s="121" t="s">
        <v>939</v>
      </c>
      <c r="L24" s="23"/>
      <c r="M24" s="7"/>
      <c r="N24" s="7"/>
      <c r="O24" s="7"/>
      <c r="P24" s="7"/>
      <c r="Q24" s="7"/>
    </row>
    <row r="25" spans="2:17" customFormat="1" ht="15" customHeight="1">
      <c r="B25" s="5" t="s">
        <v>21</v>
      </c>
      <c r="C25" s="136" t="s">
        <v>2333</v>
      </c>
      <c r="D25" s="8" t="s">
        <v>51</v>
      </c>
      <c r="E25" s="283" t="s">
        <v>34</v>
      </c>
      <c r="F25" s="120">
        <v>723103</v>
      </c>
      <c r="G25" s="120" t="s">
        <v>75</v>
      </c>
      <c r="H25" s="120" t="s">
        <v>1345</v>
      </c>
      <c r="I25" s="165">
        <v>1</v>
      </c>
      <c r="J25" s="141" t="s">
        <v>59</v>
      </c>
      <c r="K25" s="122" t="s">
        <v>105</v>
      </c>
      <c r="L25" s="23"/>
      <c r="M25" s="7"/>
      <c r="N25" s="7"/>
      <c r="O25" s="7"/>
      <c r="P25" s="7"/>
      <c r="Q25" s="7"/>
    </row>
    <row r="26" spans="2:17" customFormat="1" ht="15" customHeight="1">
      <c r="B26" s="5" t="s">
        <v>22</v>
      </c>
      <c r="C26" s="136" t="s">
        <v>2333</v>
      </c>
      <c r="D26" s="8" t="s">
        <v>51</v>
      </c>
      <c r="E26" s="122" t="s">
        <v>52</v>
      </c>
      <c r="F26" s="120">
        <v>721306</v>
      </c>
      <c r="G26" s="120" t="s">
        <v>63</v>
      </c>
      <c r="H26" s="119" t="s">
        <v>2394</v>
      </c>
      <c r="I26" s="376">
        <v>0</v>
      </c>
      <c r="J26" s="141" t="s">
        <v>59</v>
      </c>
      <c r="K26" s="122" t="s">
        <v>105</v>
      </c>
      <c r="L26" s="23"/>
      <c r="M26" s="7"/>
      <c r="N26" s="7"/>
      <c r="O26" s="7"/>
      <c r="P26" s="7"/>
      <c r="Q26" s="7"/>
    </row>
    <row r="27" spans="2:17" ht="30">
      <c r="B27" s="5" t="s">
        <v>23</v>
      </c>
      <c r="C27" s="16" t="s">
        <v>72</v>
      </c>
      <c r="D27" s="119" t="s">
        <v>73</v>
      </c>
      <c r="E27" s="283" t="s">
        <v>34</v>
      </c>
      <c r="F27" s="119">
        <v>723103</v>
      </c>
      <c r="G27" s="119" t="s">
        <v>75</v>
      </c>
      <c r="H27" s="6" t="s">
        <v>2261</v>
      </c>
      <c r="I27" s="131">
        <v>30</v>
      </c>
      <c r="J27" s="280" t="s">
        <v>228</v>
      </c>
      <c r="K27" s="207" t="s">
        <v>104</v>
      </c>
      <c r="L27" s="23"/>
      <c r="M27" s="287"/>
      <c r="N27" s="10"/>
      <c r="O27" s="10"/>
      <c r="P27" s="10"/>
      <c r="Q27" s="10"/>
    </row>
    <row r="28" spans="2:17" ht="30">
      <c r="B28" s="5" t="s">
        <v>24</v>
      </c>
      <c r="C28" s="16" t="s">
        <v>72</v>
      </c>
      <c r="D28" s="119" t="s">
        <v>73</v>
      </c>
      <c r="E28" s="283" t="s">
        <v>36</v>
      </c>
      <c r="F28" s="119">
        <v>514101</v>
      </c>
      <c r="G28" s="119" t="s">
        <v>77</v>
      </c>
      <c r="H28" s="6" t="s">
        <v>2262</v>
      </c>
      <c r="I28" s="131">
        <v>12</v>
      </c>
      <c r="J28" s="280" t="s">
        <v>228</v>
      </c>
      <c r="K28" s="207" t="s">
        <v>104</v>
      </c>
      <c r="L28" s="23"/>
      <c r="M28" s="287"/>
      <c r="N28" s="10"/>
      <c r="O28" s="10"/>
      <c r="P28" s="10"/>
      <c r="Q28" s="10"/>
    </row>
    <row r="29" spans="2:17" customFormat="1" ht="15" customHeight="1">
      <c r="B29" s="5" t="s">
        <v>92</v>
      </c>
      <c r="C29" s="16" t="s">
        <v>72</v>
      </c>
      <c r="D29" s="5" t="s">
        <v>73</v>
      </c>
      <c r="E29" s="130" t="s">
        <v>53</v>
      </c>
      <c r="F29" s="119">
        <v>741203</v>
      </c>
      <c r="G29" s="119" t="s">
        <v>64</v>
      </c>
      <c r="H29" s="119" t="s">
        <v>1349</v>
      </c>
      <c r="I29" s="145">
        <v>4</v>
      </c>
      <c r="J29" s="141" t="s">
        <v>59</v>
      </c>
      <c r="K29" s="122" t="s">
        <v>105</v>
      </c>
      <c r="L29" s="21"/>
      <c r="M29" s="7"/>
      <c r="N29" s="7"/>
      <c r="O29" s="7"/>
      <c r="P29" s="7"/>
      <c r="Q29" s="7"/>
    </row>
    <row r="30" spans="2:17" ht="30">
      <c r="B30" s="5" t="s">
        <v>93</v>
      </c>
      <c r="C30" s="16" t="s">
        <v>72</v>
      </c>
      <c r="D30" s="119" t="s">
        <v>73</v>
      </c>
      <c r="E30" s="283" t="s">
        <v>45</v>
      </c>
      <c r="F30" s="119">
        <v>522301</v>
      </c>
      <c r="G30" s="119" t="s">
        <v>43</v>
      </c>
      <c r="H30" s="6" t="s">
        <v>2263</v>
      </c>
      <c r="I30" s="131">
        <v>25</v>
      </c>
      <c r="J30" s="280" t="s">
        <v>228</v>
      </c>
      <c r="K30" s="207" t="s">
        <v>104</v>
      </c>
      <c r="L30" s="22"/>
      <c r="M30" s="287"/>
      <c r="N30" s="10"/>
      <c r="O30" s="10"/>
      <c r="P30" s="10"/>
      <c r="Q30" s="10"/>
    </row>
    <row r="31" spans="2:17" customFormat="1" ht="15" customHeight="1">
      <c r="B31" s="5" t="s">
        <v>94</v>
      </c>
      <c r="C31" s="16" t="s">
        <v>72</v>
      </c>
      <c r="D31" s="5" t="s">
        <v>73</v>
      </c>
      <c r="E31" s="130" t="s">
        <v>175</v>
      </c>
      <c r="F31" s="119">
        <v>711204</v>
      </c>
      <c r="G31" s="119" t="s">
        <v>106</v>
      </c>
      <c r="H31" s="119" t="s">
        <v>1345</v>
      </c>
      <c r="I31" s="145">
        <v>2</v>
      </c>
      <c r="J31" s="141" t="s">
        <v>59</v>
      </c>
      <c r="K31" s="122" t="s">
        <v>105</v>
      </c>
      <c r="L31" s="24"/>
      <c r="M31" s="7"/>
      <c r="N31" s="7"/>
      <c r="O31" s="7"/>
      <c r="P31" s="7"/>
      <c r="Q31" s="7"/>
    </row>
    <row r="32" spans="2:17" ht="30">
      <c r="B32" s="5" t="s">
        <v>95</v>
      </c>
      <c r="C32" s="16" t="s">
        <v>72</v>
      </c>
      <c r="D32" s="119" t="s">
        <v>73</v>
      </c>
      <c r="E32" s="207" t="s">
        <v>44</v>
      </c>
      <c r="F32" s="119">
        <v>512001</v>
      </c>
      <c r="G32" s="6" t="s">
        <v>81</v>
      </c>
      <c r="H32" s="6" t="s">
        <v>2264</v>
      </c>
      <c r="I32" s="131">
        <v>14</v>
      </c>
      <c r="J32" s="280" t="s">
        <v>228</v>
      </c>
      <c r="K32" s="207" t="s">
        <v>104</v>
      </c>
      <c r="L32" s="25"/>
      <c r="M32" s="287"/>
      <c r="N32" s="10"/>
      <c r="O32" s="10"/>
      <c r="P32" s="10"/>
      <c r="Q32" s="10"/>
    </row>
    <row r="33" spans="2:17" customFormat="1">
      <c r="B33" s="5" t="s">
        <v>96</v>
      </c>
      <c r="C33" s="16" t="s">
        <v>72</v>
      </c>
      <c r="D33" s="5" t="s">
        <v>73</v>
      </c>
      <c r="E33" s="130" t="s">
        <v>103</v>
      </c>
      <c r="F33" s="119">
        <v>722307</v>
      </c>
      <c r="G33" s="119" t="s">
        <v>83</v>
      </c>
      <c r="H33" s="119" t="s">
        <v>1407</v>
      </c>
      <c r="I33" s="131">
        <v>13</v>
      </c>
      <c r="J33" s="141" t="s">
        <v>228</v>
      </c>
      <c r="K33" s="122" t="s">
        <v>104</v>
      </c>
      <c r="L33" s="25"/>
      <c r="M33" s="14"/>
      <c r="N33" s="7"/>
      <c r="O33" s="7"/>
      <c r="P33" s="7"/>
      <c r="Q33" s="7"/>
    </row>
    <row r="34" spans="2:17" customFormat="1" ht="15" customHeight="1">
      <c r="B34" s="5" t="s">
        <v>97</v>
      </c>
      <c r="C34" s="16" t="s">
        <v>72</v>
      </c>
      <c r="D34" s="291" t="s">
        <v>73</v>
      </c>
      <c r="E34" s="130" t="s">
        <v>84</v>
      </c>
      <c r="F34" s="119">
        <v>343101</v>
      </c>
      <c r="G34" s="119" t="s">
        <v>65</v>
      </c>
      <c r="H34" s="119" t="s">
        <v>1322</v>
      </c>
      <c r="I34" s="131">
        <v>1</v>
      </c>
      <c r="J34" s="141" t="s">
        <v>547</v>
      </c>
      <c r="K34" s="121" t="s">
        <v>41</v>
      </c>
      <c r="L34" s="25"/>
      <c r="M34" s="7"/>
      <c r="N34" s="7"/>
      <c r="O34" s="7"/>
      <c r="P34" s="7"/>
      <c r="Q34" s="7"/>
    </row>
    <row r="35" spans="2:17" customFormat="1" ht="15" customHeight="1">
      <c r="B35" s="5" t="s">
        <v>98</v>
      </c>
      <c r="C35" s="16" t="s">
        <v>72</v>
      </c>
      <c r="D35" s="5" t="s">
        <v>73</v>
      </c>
      <c r="E35" s="130" t="s">
        <v>52</v>
      </c>
      <c r="F35" s="119">
        <v>721306</v>
      </c>
      <c r="G35" s="119" t="s">
        <v>63</v>
      </c>
      <c r="H35" s="119" t="s">
        <v>2394</v>
      </c>
      <c r="I35" s="145">
        <v>1</v>
      </c>
      <c r="J35" s="141" t="s">
        <v>59</v>
      </c>
      <c r="K35" s="122" t="s">
        <v>105</v>
      </c>
      <c r="L35" s="24"/>
      <c r="M35" s="7"/>
      <c r="N35" s="7"/>
      <c r="O35" s="7"/>
      <c r="P35" s="7"/>
      <c r="Q35" s="7"/>
    </row>
    <row r="36" spans="2:17" customFormat="1" ht="15" customHeight="1">
      <c r="B36" s="5" t="s">
        <v>99</v>
      </c>
      <c r="C36" s="16" t="s">
        <v>72</v>
      </c>
      <c r="D36" s="5" t="s">
        <v>73</v>
      </c>
      <c r="E36" s="221" t="s">
        <v>198</v>
      </c>
      <c r="F36" s="119">
        <v>712618</v>
      </c>
      <c r="G36" s="119" t="s">
        <v>86</v>
      </c>
      <c r="H36" s="119" t="s">
        <v>1349</v>
      </c>
      <c r="I36" s="145">
        <v>1</v>
      </c>
      <c r="J36" s="141" t="s">
        <v>59</v>
      </c>
      <c r="K36" s="122" t="s">
        <v>105</v>
      </c>
      <c r="L36" s="24"/>
      <c r="M36" s="7"/>
      <c r="N36" s="7"/>
      <c r="O36" s="7"/>
      <c r="P36" s="7"/>
      <c r="Q36" s="7"/>
    </row>
    <row r="37" spans="2:17" customFormat="1" ht="15" customHeight="1">
      <c r="B37" s="5" t="s">
        <v>100</v>
      </c>
      <c r="C37" s="16" t="s">
        <v>72</v>
      </c>
      <c r="D37" s="5" t="s">
        <v>73</v>
      </c>
      <c r="E37" s="130" t="s">
        <v>38</v>
      </c>
      <c r="F37" s="119">
        <v>741103</v>
      </c>
      <c r="G37" s="119" t="s">
        <v>54</v>
      </c>
      <c r="H37" s="119" t="s">
        <v>2394</v>
      </c>
      <c r="I37" s="145">
        <v>1</v>
      </c>
      <c r="J37" s="141" t="s">
        <v>59</v>
      </c>
      <c r="K37" s="122" t="s">
        <v>105</v>
      </c>
      <c r="L37" s="24"/>
      <c r="M37" s="7"/>
      <c r="N37" s="7"/>
      <c r="O37" s="7"/>
      <c r="P37" s="7"/>
      <c r="Q37" s="7"/>
    </row>
    <row r="38" spans="2:17" customFormat="1" ht="15" customHeight="1">
      <c r="B38" s="5" t="s">
        <v>118</v>
      </c>
      <c r="C38" s="16" t="s">
        <v>72</v>
      </c>
      <c r="D38" s="5" t="s">
        <v>73</v>
      </c>
      <c r="E38" s="130" t="s">
        <v>57</v>
      </c>
      <c r="F38" s="119">
        <v>751204</v>
      </c>
      <c r="G38" s="119" t="s">
        <v>68</v>
      </c>
      <c r="H38" s="119" t="s">
        <v>1348</v>
      </c>
      <c r="I38" s="376">
        <v>0</v>
      </c>
      <c r="J38" s="141" t="s">
        <v>59</v>
      </c>
      <c r="K38" s="122" t="s">
        <v>105</v>
      </c>
      <c r="L38" s="26"/>
      <c r="M38" s="7"/>
      <c r="N38" s="7"/>
      <c r="O38" s="7"/>
      <c r="P38" s="7"/>
      <c r="Q38" s="7"/>
    </row>
    <row r="39" spans="2:17" customFormat="1" ht="15" customHeight="1">
      <c r="B39" s="5" t="s">
        <v>119</v>
      </c>
      <c r="C39" s="16" t="s">
        <v>72</v>
      </c>
      <c r="D39" s="5" t="s">
        <v>73</v>
      </c>
      <c r="E39" s="130" t="s">
        <v>33</v>
      </c>
      <c r="F39" s="119">
        <v>752205</v>
      </c>
      <c r="G39" s="119" t="s">
        <v>69</v>
      </c>
      <c r="H39" s="119" t="s">
        <v>1343</v>
      </c>
      <c r="I39" s="145">
        <v>1</v>
      </c>
      <c r="J39" s="141" t="s">
        <v>59</v>
      </c>
      <c r="K39" s="122" t="s">
        <v>105</v>
      </c>
      <c r="L39" s="24"/>
      <c r="M39" s="7"/>
      <c r="N39" s="7"/>
      <c r="O39" s="7"/>
      <c r="P39" s="7"/>
      <c r="Q39" s="7"/>
    </row>
    <row r="40" spans="2:17" customFormat="1" ht="30">
      <c r="B40" s="5" t="s">
        <v>120</v>
      </c>
      <c r="C40" s="283" t="s">
        <v>101</v>
      </c>
      <c r="D40" s="5" t="s">
        <v>102</v>
      </c>
      <c r="E40" s="207" t="s">
        <v>44</v>
      </c>
      <c r="F40" s="119">
        <v>512001</v>
      </c>
      <c r="G40" s="6" t="s">
        <v>81</v>
      </c>
      <c r="H40" s="6" t="s">
        <v>2264</v>
      </c>
      <c r="I40" s="131">
        <v>8</v>
      </c>
      <c r="J40" s="141" t="s">
        <v>228</v>
      </c>
      <c r="K40" s="122" t="s">
        <v>104</v>
      </c>
      <c r="L40" s="27"/>
      <c r="M40" s="14"/>
      <c r="N40" s="7"/>
      <c r="O40" s="7"/>
      <c r="P40" s="7"/>
      <c r="Q40" s="7"/>
    </row>
    <row r="41" spans="2:17" ht="30">
      <c r="B41" s="5" t="s">
        <v>121</v>
      </c>
      <c r="C41" s="283" t="s">
        <v>101</v>
      </c>
      <c r="D41" s="119" t="s">
        <v>102</v>
      </c>
      <c r="E41" s="283" t="s">
        <v>36</v>
      </c>
      <c r="F41" s="119">
        <v>514101</v>
      </c>
      <c r="G41" s="119" t="s">
        <v>77</v>
      </c>
      <c r="H41" s="6" t="s">
        <v>2262</v>
      </c>
      <c r="I41" s="131">
        <v>2</v>
      </c>
      <c r="J41" s="280" t="s">
        <v>228</v>
      </c>
      <c r="K41" s="207" t="s">
        <v>104</v>
      </c>
      <c r="L41" s="27"/>
      <c r="M41" s="287"/>
      <c r="N41" s="10"/>
      <c r="O41" s="10"/>
      <c r="P41" s="10"/>
      <c r="Q41" s="10"/>
    </row>
    <row r="42" spans="2:17" customFormat="1">
      <c r="B42" s="5" t="s">
        <v>122</v>
      </c>
      <c r="C42" s="283" t="s">
        <v>101</v>
      </c>
      <c r="D42" s="5" t="s">
        <v>102</v>
      </c>
      <c r="E42" s="283" t="s">
        <v>45</v>
      </c>
      <c r="F42" s="119">
        <v>522301</v>
      </c>
      <c r="G42" s="119" t="s">
        <v>43</v>
      </c>
      <c r="H42" s="119" t="s">
        <v>2265</v>
      </c>
      <c r="I42" s="131">
        <v>1</v>
      </c>
      <c r="J42" s="141" t="s">
        <v>228</v>
      </c>
      <c r="K42" s="122" t="s">
        <v>104</v>
      </c>
      <c r="L42" s="27"/>
      <c r="M42" s="14"/>
      <c r="N42" s="7"/>
      <c r="O42" s="7"/>
      <c r="P42" s="7"/>
      <c r="Q42" s="7"/>
    </row>
    <row r="43" spans="2:17" ht="30">
      <c r="B43" s="5" t="s">
        <v>123</v>
      </c>
      <c r="C43" s="283" t="s">
        <v>101</v>
      </c>
      <c r="D43" s="119" t="s">
        <v>102</v>
      </c>
      <c r="E43" s="283" t="s">
        <v>34</v>
      </c>
      <c r="F43" s="119">
        <v>723103</v>
      </c>
      <c r="G43" s="119" t="s">
        <v>75</v>
      </c>
      <c r="H43" s="6" t="s">
        <v>2378</v>
      </c>
      <c r="I43" s="131">
        <v>4</v>
      </c>
      <c r="J43" s="280" t="s">
        <v>228</v>
      </c>
      <c r="K43" s="207" t="s">
        <v>104</v>
      </c>
      <c r="L43" s="27"/>
      <c r="M43" s="287"/>
      <c r="N43" s="10"/>
      <c r="O43" s="10"/>
      <c r="P43" s="10"/>
      <c r="Q43" s="10"/>
    </row>
    <row r="44" spans="2:17" customFormat="1" ht="15" customHeight="1">
      <c r="B44" s="5" t="s">
        <v>124</v>
      </c>
      <c r="C44" s="283" t="s">
        <v>101</v>
      </c>
      <c r="D44" s="5" t="s">
        <v>102</v>
      </c>
      <c r="E44" s="130" t="s">
        <v>33</v>
      </c>
      <c r="F44" s="119">
        <v>752205</v>
      </c>
      <c r="G44" s="119" t="s">
        <v>69</v>
      </c>
      <c r="H44" s="119" t="s">
        <v>1343</v>
      </c>
      <c r="I44" s="145">
        <v>1</v>
      </c>
      <c r="J44" s="141" t="s">
        <v>59</v>
      </c>
      <c r="K44" s="122" t="s">
        <v>105</v>
      </c>
      <c r="L44" s="24"/>
      <c r="M44" s="7"/>
      <c r="N44" s="7"/>
      <c r="O44" s="7"/>
      <c r="P44" s="7"/>
      <c r="Q44" s="7"/>
    </row>
    <row r="45" spans="2:17" customFormat="1" ht="15" customHeight="1">
      <c r="B45" s="5" t="s">
        <v>125</v>
      </c>
      <c r="C45" s="283" t="s">
        <v>101</v>
      </c>
      <c r="D45" s="5" t="s">
        <v>102</v>
      </c>
      <c r="E45" s="130" t="s">
        <v>175</v>
      </c>
      <c r="F45" s="119">
        <v>711204</v>
      </c>
      <c r="G45" s="119" t="s">
        <v>106</v>
      </c>
      <c r="H45" s="119" t="s">
        <v>1345</v>
      </c>
      <c r="I45" s="145">
        <v>1</v>
      </c>
      <c r="J45" s="141" t="s">
        <v>59</v>
      </c>
      <c r="K45" s="122" t="s">
        <v>105</v>
      </c>
      <c r="L45" s="24"/>
      <c r="M45" s="7"/>
      <c r="N45" s="7"/>
      <c r="O45" s="7"/>
      <c r="P45" s="7"/>
      <c r="Q45" s="7"/>
    </row>
    <row r="46" spans="2:17" customFormat="1" ht="15" customHeight="1">
      <c r="B46" s="5" t="s">
        <v>126</v>
      </c>
      <c r="C46" s="283" t="s">
        <v>101</v>
      </c>
      <c r="D46" s="5" t="s">
        <v>102</v>
      </c>
      <c r="E46" s="130" t="s">
        <v>57</v>
      </c>
      <c r="F46" s="119">
        <v>751204</v>
      </c>
      <c r="G46" s="119" t="s">
        <v>68</v>
      </c>
      <c r="H46" s="119" t="s">
        <v>1348</v>
      </c>
      <c r="I46" s="376">
        <v>0</v>
      </c>
      <c r="J46" s="141" t="s">
        <v>59</v>
      </c>
      <c r="K46" s="370" t="s">
        <v>105</v>
      </c>
      <c r="L46" s="24"/>
      <c r="M46" s="7"/>
      <c r="N46" s="7"/>
      <c r="O46" s="7"/>
      <c r="P46" s="7"/>
      <c r="Q46" s="7"/>
    </row>
    <row r="47" spans="2:17" customFormat="1" ht="15" customHeight="1">
      <c r="B47" s="5" t="s">
        <v>127</v>
      </c>
      <c r="C47" s="283" t="s">
        <v>101</v>
      </c>
      <c r="D47" s="5" t="s">
        <v>102</v>
      </c>
      <c r="E47" s="130" t="s">
        <v>53</v>
      </c>
      <c r="F47" s="119">
        <v>741203</v>
      </c>
      <c r="G47" s="119" t="s">
        <v>64</v>
      </c>
      <c r="H47" s="119" t="s">
        <v>1349</v>
      </c>
      <c r="I47" s="145">
        <v>1</v>
      </c>
      <c r="J47" s="141" t="s">
        <v>59</v>
      </c>
      <c r="K47" s="122" t="s">
        <v>105</v>
      </c>
      <c r="L47" s="24"/>
      <c r="M47" s="7"/>
      <c r="N47" s="7"/>
      <c r="O47" s="7"/>
      <c r="P47" s="7"/>
      <c r="Q47" s="7"/>
    </row>
    <row r="48" spans="2:17" ht="30" customHeight="1">
      <c r="B48" s="5" t="s">
        <v>128</v>
      </c>
      <c r="C48" s="283" t="s">
        <v>107</v>
      </c>
      <c r="D48" s="119" t="s">
        <v>108</v>
      </c>
      <c r="E48" s="283" t="s">
        <v>45</v>
      </c>
      <c r="F48" s="119">
        <v>522301</v>
      </c>
      <c r="G48" s="119" t="s">
        <v>43</v>
      </c>
      <c r="H48" s="306" t="s">
        <v>2375</v>
      </c>
      <c r="I48" s="159">
        <v>4</v>
      </c>
      <c r="J48" s="280" t="s">
        <v>109</v>
      </c>
      <c r="K48" s="207" t="s">
        <v>237</v>
      </c>
      <c r="L48" s="27"/>
      <c r="M48" s="7"/>
      <c r="N48" s="7"/>
      <c r="O48" s="7"/>
      <c r="P48" s="7"/>
      <c r="Q48" s="7"/>
    </row>
    <row r="49" spans="2:17" customFormat="1" ht="15" customHeight="1">
      <c r="B49" s="5" t="s">
        <v>129</v>
      </c>
      <c r="C49" s="283" t="s">
        <v>107</v>
      </c>
      <c r="D49" s="5" t="s">
        <v>108</v>
      </c>
      <c r="E49" s="130" t="s">
        <v>33</v>
      </c>
      <c r="F49" s="119">
        <v>752205</v>
      </c>
      <c r="G49" s="119" t="s">
        <v>69</v>
      </c>
      <c r="H49" s="295" t="s">
        <v>1427</v>
      </c>
      <c r="I49" s="159">
        <v>1</v>
      </c>
      <c r="J49" s="141" t="s">
        <v>109</v>
      </c>
      <c r="K49" s="122" t="s">
        <v>237</v>
      </c>
      <c r="L49" s="27"/>
      <c r="M49" s="7"/>
      <c r="N49" s="7"/>
      <c r="O49" s="7"/>
      <c r="P49" s="7"/>
      <c r="Q49" s="7"/>
    </row>
    <row r="50" spans="2:17" customFormat="1" ht="15" customHeight="1">
      <c r="B50" s="5" t="s">
        <v>130</v>
      </c>
      <c r="C50" s="283" t="s">
        <v>107</v>
      </c>
      <c r="D50" s="5" t="s">
        <v>108</v>
      </c>
      <c r="E50" s="283" t="s">
        <v>34</v>
      </c>
      <c r="F50" s="119">
        <v>723103</v>
      </c>
      <c r="G50" s="119" t="s">
        <v>75</v>
      </c>
      <c r="H50" s="295" t="s">
        <v>1421</v>
      </c>
      <c r="I50" s="159">
        <v>1</v>
      </c>
      <c r="J50" s="141" t="s">
        <v>109</v>
      </c>
      <c r="K50" s="122" t="s">
        <v>237</v>
      </c>
      <c r="L50" s="27"/>
      <c r="M50" s="7"/>
      <c r="N50" s="7"/>
      <c r="O50" s="7"/>
      <c r="P50" s="7"/>
      <c r="Q50" s="7"/>
    </row>
    <row r="51" spans="2:17" customFormat="1" ht="15" customHeight="1">
      <c r="B51" s="5" t="s">
        <v>131</v>
      </c>
      <c r="C51" s="283" t="s">
        <v>107</v>
      </c>
      <c r="D51" s="5" t="s">
        <v>108</v>
      </c>
      <c r="E51" s="207" t="s">
        <v>44</v>
      </c>
      <c r="F51" s="119">
        <v>512001</v>
      </c>
      <c r="G51" s="6" t="s">
        <v>81</v>
      </c>
      <c r="H51" s="295" t="s">
        <v>1343</v>
      </c>
      <c r="I51" s="159">
        <v>1</v>
      </c>
      <c r="J51" s="141" t="s">
        <v>109</v>
      </c>
      <c r="K51" s="122" t="s">
        <v>237</v>
      </c>
      <c r="L51" s="27"/>
      <c r="M51" s="7"/>
      <c r="N51" s="7"/>
      <c r="O51" s="7"/>
      <c r="P51" s="7"/>
      <c r="Q51" s="7"/>
    </row>
    <row r="52" spans="2:17" ht="60" customHeight="1">
      <c r="B52" s="5" t="s">
        <v>132</v>
      </c>
      <c r="C52" s="283" t="s">
        <v>110</v>
      </c>
      <c r="D52" s="119" t="s">
        <v>111</v>
      </c>
      <c r="E52" s="283" t="s">
        <v>45</v>
      </c>
      <c r="F52" s="142">
        <v>522301</v>
      </c>
      <c r="G52" s="119" t="s">
        <v>43</v>
      </c>
      <c r="H52" s="204" t="s">
        <v>1425</v>
      </c>
      <c r="I52" s="131">
        <v>17</v>
      </c>
      <c r="J52" s="280" t="s">
        <v>116</v>
      </c>
      <c r="K52" s="207" t="s">
        <v>942</v>
      </c>
      <c r="L52" s="27"/>
      <c r="M52" s="10"/>
      <c r="N52" s="10"/>
      <c r="O52" s="10"/>
      <c r="P52" s="10"/>
      <c r="Q52" s="281"/>
    </row>
    <row r="53" spans="2:17" ht="15" customHeight="1">
      <c r="B53" s="5" t="s">
        <v>133</v>
      </c>
      <c r="C53" s="283" t="s">
        <v>110</v>
      </c>
      <c r="D53" s="119" t="s">
        <v>111</v>
      </c>
      <c r="E53" s="207" t="s">
        <v>44</v>
      </c>
      <c r="F53" s="119">
        <v>512001</v>
      </c>
      <c r="G53" s="6" t="s">
        <v>81</v>
      </c>
      <c r="H53" s="143" t="s">
        <v>1407</v>
      </c>
      <c r="I53" s="131">
        <v>2</v>
      </c>
      <c r="J53" s="280" t="s">
        <v>116</v>
      </c>
      <c r="K53" s="207" t="s">
        <v>942</v>
      </c>
      <c r="L53" s="27"/>
      <c r="M53" s="10"/>
      <c r="N53" s="10"/>
      <c r="O53" s="10"/>
      <c r="P53" s="10"/>
      <c r="Q53" s="281"/>
    </row>
    <row r="54" spans="2:17" ht="15" customHeight="1">
      <c r="B54" s="5" t="s">
        <v>134</v>
      </c>
      <c r="C54" s="283" t="s">
        <v>110</v>
      </c>
      <c r="D54" s="119" t="s">
        <v>111</v>
      </c>
      <c r="E54" s="283" t="s">
        <v>37</v>
      </c>
      <c r="F54" s="119">
        <v>751201</v>
      </c>
      <c r="G54" s="119" t="s">
        <v>183</v>
      </c>
      <c r="H54" s="143" t="s">
        <v>1405</v>
      </c>
      <c r="I54" s="131">
        <v>3</v>
      </c>
      <c r="J54" s="280" t="s">
        <v>116</v>
      </c>
      <c r="K54" s="207" t="s">
        <v>942</v>
      </c>
      <c r="L54" s="27"/>
      <c r="M54" s="10"/>
      <c r="N54" s="10"/>
      <c r="O54" s="10"/>
      <c r="P54" s="10"/>
      <c r="Q54" s="281"/>
    </row>
    <row r="55" spans="2:17" ht="60" customHeight="1">
      <c r="B55" s="5" t="s">
        <v>135</v>
      </c>
      <c r="C55" s="283" t="s">
        <v>110</v>
      </c>
      <c r="D55" s="119" t="s">
        <v>111</v>
      </c>
      <c r="E55" s="283" t="s">
        <v>36</v>
      </c>
      <c r="F55" s="119">
        <v>514101</v>
      </c>
      <c r="G55" s="119" t="s">
        <v>77</v>
      </c>
      <c r="H55" s="204" t="s">
        <v>1426</v>
      </c>
      <c r="I55" s="131">
        <v>8</v>
      </c>
      <c r="J55" s="280" t="s">
        <v>116</v>
      </c>
      <c r="K55" s="207" t="s">
        <v>942</v>
      </c>
      <c r="L55" s="27"/>
      <c r="M55" s="10"/>
      <c r="N55" s="10"/>
      <c r="O55" s="10"/>
      <c r="P55" s="10"/>
      <c r="Q55" s="281"/>
    </row>
    <row r="56" spans="2:17" ht="15" customHeight="1">
      <c r="B56" s="5" t="s">
        <v>136</v>
      </c>
      <c r="C56" s="283" t="s">
        <v>110</v>
      </c>
      <c r="D56" s="119" t="s">
        <v>111</v>
      </c>
      <c r="E56" s="283" t="s">
        <v>57</v>
      </c>
      <c r="F56" s="119">
        <v>751204</v>
      </c>
      <c r="G56" s="119" t="s">
        <v>68</v>
      </c>
      <c r="H56" s="143" t="s">
        <v>1340</v>
      </c>
      <c r="I56" s="131">
        <v>1</v>
      </c>
      <c r="J56" s="280" t="s">
        <v>116</v>
      </c>
      <c r="K56" s="207" t="s">
        <v>942</v>
      </c>
      <c r="L56" s="27"/>
      <c r="M56" s="10"/>
      <c r="N56" s="10"/>
      <c r="O56" s="10"/>
      <c r="P56" s="10"/>
      <c r="Q56" s="281"/>
    </row>
    <row r="57" spans="2:17" customFormat="1" ht="15" customHeight="1">
      <c r="B57" s="5" t="s">
        <v>145</v>
      </c>
      <c r="C57" s="283" t="s">
        <v>110</v>
      </c>
      <c r="D57" s="5" t="s">
        <v>111</v>
      </c>
      <c r="E57" s="130" t="s">
        <v>38</v>
      </c>
      <c r="F57" s="5">
        <v>741103</v>
      </c>
      <c r="G57" s="119" t="s">
        <v>54</v>
      </c>
      <c r="H57" s="120" t="s">
        <v>1434</v>
      </c>
      <c r="I57" s="131">
        <v>3</v>
      </c>
      <c r="J57" s="141" t="s">
        <v>117</v>
      </c>
      <c r="K57" s="122" t="s">
        <v>943</v>
      </c>
      <c r="L57" s="27"/>
      <c r="M57" s="7"/>
      <c r="N57" s="7"/>
      <c r="O57" s="7"/>
      <c r="P57" s="7"/>
      <c r="Q57" s="7"/>
    </row>
    <row r="58" spans="2:17" customFormat="1" ht="15" customHeight="1">
      <c r="B58" s="5" t="s">
        <v>146</v>
      </c>
      <c r="C58" s="283" t="s">
        <v>110</v>
      </c>
      <c r="D58" s="291" t="s">
        <v>111</v>
      </c>
      <c r="E58" s="16" t="s">
        <v>115</v>
      </c>
      <c r="F58" s="5">
        <v>712101</v>
      </c>
      <c r="G58" s="119" t="s">
        <v>184</v>
      </c>
      <c r="H58" s="119" t="s">
        <v>1322</v>
      </c>
      <c r="I58" s="131">
        <v>1</v>
      </c>
      <c r="J58" s="141" t="s">
        <v>547</v>
      </c>
      <c r="K58" s="121" t="s">
        <v>41</v>
      </c>
      <c r="L58" s="27"/>
      <c r="M58" s="7"/>
      <c r="N58" s="7"/>
      <c r="O58" s="7"/>
      <c r="P58" s="7"/>
      <c r="Q58" s="7"/>
    </row>
    <row r="59" spans="2:17" customFormat="1" ht="15" customHeight="1">
      <c r="B59" s="5" t="s">
        <v>147</v>
      </c>
      <c r="C59" s="283" t="s">
        <v>110</v>
      </c>
      <c r="D59" s="5" t="s">
        <v>111</v>
      </c>
      <c r="E59" s="130" t="s">
        <v>53</v>
      </c>
      <c r="F59" s="5">
        <v>741203</v>
      </c>
      <c r="G59" s="119" t="s">
        <v>64</v>
      </c>
      <c r="H59" s="119" t="s">
        <v>1349</v>
      </c>
      <c r="I59" s="145">
        <v>2</v>
      </c>
      <c r="J59" s="141" t="s">
        <v>59</v>
      </c>
      <c r="K59" s="122" t="s">
        <v>105</v>
      </c>
      <c r="L59" s="24"/>
      <c r="M59" s="7"/>
      <c r="N59" s="7"/>
      <c r="O59" s="7"/>
      <c r="P59" s="7"/>
      <c r="Q59" s="7"/>
    </row>
    <row r="60" spans="2:17" customFormat="1" ht="15" customHeight="1">
      <c r="B60" s="5" t="s">
        <v>148</v>
      </c>
      <c r="C60" s="130" t="s">
        <v>2352</v>
      </c>
      <c r="D60" s="5" t="s">
        <v>137</v>
      </c>
      <c r="E60" s="130" t="s">
        <v>57</v>
      </c>
      <c r="F60" s="119">
        <v>751204</v>
      </c>
      <c r="G60" s="119" t="s">
        <v>68</v>
      </c>
      <c r="H60" s="119" t="s">
        <v>1424</v>
      </c>
      <c r="I60" s="131">
        <v>2</v>
      </c>
      <c r="J60" s="141" t="s">
        <v>61</v>
      </c>
      <c r="K60" s="121" t="s">
        <v>851</v>
      </c>
      <c r="L60" s="25"/>
      <c r="M60" s="7"/>
      <c r="N60" s="7"/>
      <c r="O60" s="7"/>
      <c r="P60" s="7"/>
      <c r="Q60" s="7"/>
    </row>
    <row r="61" spans="2:17" customFormat="1" ht="15" customHeight="1">
      <c r="B61" s="5" t="s">
        <v>149</v>
      </c>
      <c r="C61" s="130" t="s">
        <v>2352</v>
      </c>
      <c r="D61" s="5" t="s">
        <v>137</v>
      </c>
      <c r="E61" s="283" t="s">
        <v>36</v>
      </c>
      <c r="F61" s="119">
        <v>514101</v>
      </c>
      <c r="G61" s="119" t="s">
        <v>77</v>
      </c>
      <c r="H61" s="119" t="s">
        <v>1344</v>
      </c>
      <c r="I61" s="131">
        <v>2</v>
      </c>
      <c r="J61" s="141" t="s">
        <v>61</v>
      </c>
      <c r="K61" s="121" t="s">
        <v>851</v>
      </c>
      <c r="L61" s="25"/>
      <c r="M61" s="7"/>
      <c r="N61" s="7"/>
      <c r="O61" s="7"/>
      <c r="P61" s="7"/>
      <c r="Q61" s="7"/>
    </row>
    <row r="62" spans="2:17" customFormat="1" ht="15" customHeight="1">
      <c r="B62" s="5" t="s">
        <v>150</v>
      </c>
      <c r="C62" s="130" t="s">
        <v>2352</v>
      </c>
      <c r="D62" s="5" t="s">
        <v>137</v>
      </c>
      <c r="E62" s="130" t="s">
        <v>57</v>
      </c>
      <c r="F62" s="119">
        <v>751204</v>
      </c>
      <c r="G62" s="119" t="s">
        <v>68</v>
      </c>
      <c r="H62" s="119" t="s">
        <v>1424</v>
      </c>
      <c r="I62" s="131">
        <v>4</v>
      </c>
      <c r="J62" s="141" t="s">
        <v>61</v>
      </c>
      <c r="K62" s="121" t="s">
        <v>851</v>
      </c>
      <c r="L62" s="25"/>
      <c r="M62" s="7"/>
      <c r="N62" s="7"/>
      <c r="O62" s="7"/>
      <c r="P62" s="7"/>
      <c r="Q62" s="7"/>
    </row>
    <row r="63" spans="2:17" customFormat="1" ht="15" customHeight="1">
      <c r="B63" s="5" t="s">
        <v>151</v>
      </c>
      <c r="C63" s="130" t="s">
        <v>2352</v>
      </c>
      <c r="D63" s="5" t="s">
        <v>137</v>
      </c>
      <c r="E63" s="221" t="s">
        <v>198</v>
      </c>
      <c r="F63" s="119">
        <v>712618</v>
      </c>
      <c r="G63" s="119" t="s">
        <v>86</v>
      </c>
      <c r="H63" s="119" t="s">
        <v>1424</v>
      </c>
      <c r="I63" s="131">
        <v>2</v>
      </c>
      <c r="J63" s="141" t="s">
        <v>61</v>
      </c>
      <c r="K63" s="121" t="s">
        <v>851</v>
      </c>
      <c r="L63" s="25"/>
      <c r="M63" s="7"/>
      <c r="N63" s="7"/>
      <c r="O63" s="7"/>
      <c r="P63" s="7"/>
      <c r="Q63" s="7"/>
    </row>
    <row r="64" spans="2:17" customFormat="1" ht="15" customHeight="1">
      <c r="B64" s="5" t="s">
        <v>152</v>
      </c>
      <c r="C64" s="130" t="s">
        <v>2352</v>
      </c>
      <c r="D64" s="5" t="s">
        <v>137</v>
      </c>
      <c r="E64" s="130" t="s">
        <v>33</v>
      </c>
      <c r="F64" s="119">
        <v>752205</v>
      </c>
      <c r="G64" s="119" t="s">
        <v>69</v>
      </c>
      <c r="H64" s="119" t="s">
        <v>1343</v>
      </c>
      <c r="I64" s="131">
        <v>3</v>
      </c>
      <c r="J64" s="141" t="s">
        <v>61</v>
      </c>
      <c r="K64" s="121" t="s">
        <v>851</v>
      </c>
      <c r="L64" s="25"/>
      <c r="M64" s="7"/>
      <c r="N64" s="7"/>
      <c r="O64" s="7"/>
      <c r="P64" s="7"/>
      <c r="Q64" s="7"/>
    </row>
    <row r="65" spans="2:17" customFormat="1" ht="15" customHeight="1">
      <c r="B65" s="5" t="s">
        <v>153</v>
      </c>
      <c r="C65" s="130" t="s">
        <v>2352</v>
      </c>
      <c r="D65" s="5" t="s">
        <v>137</v>
      </c>
      <c r="E65" s="130" t="s">
        <v>38</v>
      </c>
      <c r="F65" s="119">
        <v>741103</v>
      </c>
      <c r="G65" s="119" t="s">
        <v>54</v>
      </c>
      <c r="H65" s="119" t="s">
        <v>1343</v>
      </c>
      <c r="I65" s="131">
        <v>9</v>
      </c>
      <c r="J65" s="141" t="s">
        <v>61</v>
      </c>
      <c r="K65" s="121" t="s">
        <v>851</v>
      </c>
      <c r="L65" s="25"/>
      <c r="M65" s="7"/>
      <c r="N65" s="7"/>
      <c r="O65" s="7"/>
      <c r="P65" s="7"/>
      <c r="Q65" s="7"/>
    </row>
    <row r="66" spans="2:17" customFormat="1" ht="15" customHeight="1">
      <c r="B66" s="5" t="s">
        <v>154</v>
      </c>
      <c r="C66" s="130" t="s">
        <v>2352</v>
      </c>
      <c r="D66" s="5" t="s">
        <v>137</v>
      </c>
      <c r="E66" s="221" t="s">
        <v>198</v>
      </c>
      <c r="F66" s="119">
        <v>712618</v>
      </c>
      <c r="G66" s="119" t="s">
        <v>86</v>
      </c>
      <c r="H66" s="119" t="s">
        <v>1424</v>
      </c>
      <c r="I66" s="131">
        <v>2</v>
      </c>
      <c r="J66" s="141" t="s">
        <v>61</v>
      </c>
      <c r="K66" s="121" t="s">
        <v>851</v>
      </c>
      <c r="L66" s="25"/>
      <c r="M66" s="7"/>
      <c r="N66" s="7"/>
      <c r="O66" s="7"/>
      <c r="P66" s="7"/>
      <c r="Q66" s="7"/>
    </row>
    <row r="67" spans="2:17" customFormat="1" ht="15" customHeight="1">
      <c r="B67" s="5" t="s">
        <v>155</v>
      </c>
      <c r="C67" s="130" t="s">
        <v>2352</v>
      </c>
      <c r="D67" s="5" t="s">
        <v>137</v>
      </c>
      <c r="E67" s="130" t="s">
        <v>33</v>
      </c>
      <c r="F67" s="119">
        <v>752205</v>
      </c>
      <c r="G67" s="119" t="s">
        <v>69</v>
      </c>
      <c r="H67" s="119" t="s">
        <v>1343</v>
      </c>
      <c r="I67" s="131">
        <v>3</v>
      </c>
      <c r="J67" s="141" t="s">
        <v>61</v>
      </c>
      <c r="K67" s="121" t="s">
        <v>851</v>
      </c>
      <c r="L67" s="25"/>
      <c r="M67" s="7"/>
      <c r="N67" s="7"/>
      <c r="O67" s="7"/>
      <c r="P67" s="7"/>
      <c r="Q67" s="7"/>
    </row>
    <row r="68" spans="2:17" customFormat="1" ht="15" customHeight="1">
      <c r="B68" s="5" t="s">
        <v>156</v>
      </c>
      <c r="C68" s="130" t="s">
        <v>2352</v>
      </c>
      <c r="D68" s="5" t="s">
        <v>137</v>
      </c>
      <c r="E68" s="130" t="s">
        <v>206</v>
      </c>
      <c r="F68" s="119">
        <v>722204</v>
      </c>
      <c r="G68" s="119" t="s">
        <v>185</v>
      </c>
      <c r="H68" s="119" t="s">
        <v>1343</v>
      </c>
      <c r="I68" s="131">
        <v>2</v>
      </c>
      <c r="J68" s="141" t="s">
        <v>61</v>
      </c>
      <c r="K68" s="121" t="s">
        <v>851</v>
      </c>
      <c r="L68" s="25"/>
      <c r="M68" s="7"/>
      <c r="N68" s="7"/>
      <c r="O68" s="7"/>
      <c r="P68" s="7"/>
      <c r="Q68" s="7"/>
    </row>
    <row r="69" spans="2:17" customFormat="1" ht="15" customHeight="1">
      <c r="B69" s="5" t="s">
        <v>157</v>
      </c>
      <c r="C69" s="130" t="s">
        <v>2352</v>
      </c>
      <c r="D69" s="5" t="s">
        <v>137</v>
      </c>
      <c r="E69" s="130" t="s">
        <v>206</v>
      </c>
      <c r="F69" s="119">
        <v>722204</v>
      </c>
      <c r="G69" s="119" t="s">
        <v>185</v>
      </c>
      <c r="H69" s="119" t="s">
        <v>1343</v>
      </c>
      <c r="I69" s="131">
        <v>4</v>
      </c>
      <c r="J69" s="141" t="s">
        <v>61</v>
      </c>
      <c r="K69" s="121" t="s">
        <v>851</v>
      </c>
      <c r="L69" s="25"/>
      <c r="M69" s="7"/>
      <c r="N69" s="7"/>
      <c r="O69" s="7"/>
      <c r="P69" s="7"/>
      <c r="Q69" s="7"/>
    </row>
    <row r="70" spans="2:17" customFormat="1" ht="15" customHeight="1">
      <c r="B70" s="5" t="s">
        <v>158</v>
      </c>
      <c r="C70" s="130" t="s">
        <v>2352</v>
      </c>
      <c r="D70" s="5" t="s">
        <v>137</v>
      </c>
      <c r="E70" s="283" t="s">
        <v>36</v>
      </c>
      <c r="F70" s="119">
        <v>514101</v>
      </c>
      <c r="G70" s="119" t="s">
        <v>77</v>
      </c>
      <c r="H70" s="119" t="s">
        <v>1344</v>
      </c>
      <c r="I70" s="131">
        <v>2</v>
      </c>
      <c r="J70" s="141" t="s">
        <v>61</v>
      </c>
      <c r="K70" s="121" t="s">
        <v>851</v>
      </c>
      <c r="L70" s="25"/>
      <c r="M70" s="7"/>
      <c r="N70" s="7"/>
      <c r="O70" s="7"/>
      <c r="P70" s="7"/>
      <c r="Q70" s="7"/>
    </row>
    <row r="71" spans="2:17" customFormat="1" ht="15" customHeight="1">
      <c r="B71" s="5" t="s">
        <v>159</v>
      </c>
      <c r="C71" s="130" t="s">
        <v>2352</v>
      </c>
      <c r="D71" s="5" t="s">
        <v>137</v>
      </c>
      <c r="E71" s="130" t="s">
        <v>1466</v>
      </c>
      <c r="F71" s="119">
        <v>834103</v>
      </c>
      <c r="G71" s="119" t="s">
        <v>186</v>
      </c>
      <c r="H71" s="119" t="s">
        <v>1343</v>
      </c>
      <c r="I71" s="131">
        <v>1</v>
      </c>
      <c r="J71" s="141" t="s">
        <v>61</v>
      </c>
      <c r="K71" s="121" t="s">
        <v>851</v>
      </c>
      <c r="L71" s="25"/>
      <c r="M71" s="7"/>
      <c r="N71" s="7"/>
      <c r="O71" s="7"/>
      <c r="P71" s="7"/>
      <c r="Q71" s="7"/>
    </row>
    <row r="72" spans="2:17" customFormat="1" ht="15" customHeight="1">
      <c r="B72" s="5" t="s">
        <v>160</v>
      </c>
      <c r="C72" s="130" t="s">
        <v>2352</v>
      </c>
      <c r="D72" s="5" t="s">
        <v>137</v>
      </c>
      <c r="E72" s="130" t="s">
        <v>1466</v>
      </c>
      <c r="F72" s="119">
        <v>834103</v>
      </c>
      <c r="G72" s="119" t="s">
        <v>186</v>
      </c>
      <c r="H72" s="119" t="s">
        <v>1343</v>
      </c>
      <c r="I72" s="131">
        <v>2</v>
      </c>
      <c r="J72" s="141" t="s">
        <v>61</v>
      </c>
      <c r="K72" s="121" t="s">
        <v>851</v>
      </c>
      <c r="L72" s="25"/>
      <c r="M72" s="7"/>
      <c r="N72" s="7"/>
      <c r="O72" s="7"/>
      <c r="P72" s="7"/>
      <c r="Q72" s="7"/>
    </row>
    <row r="73" spans="2:17" customFormat="1" ht="15" customHeight="1">
      <c r="B73" s="5" t="s">
        <v>161</v>
      </c>
      <c r="C73" s="130" t="s">
        <v>2352</v>
      </c>
      <c r="D73" s="5" t="s">
        <v>137</v>
      </c>
      <c r="E73" s="207" t="s">
        <v>44</v>
      </c>
      <c r="F73" s="119">
        <v>512001</v>
      </c>
      <c r="G73" s="6" t="s">
        <v>81</v>
      </c>
      <c r="H73" s="119" t="s">
        <v>1424</v>
      </c>
      <c r="I73" s="131">
        <v>7</v>
      </c>
      <c r="J73" s="141" t="s">
        <v>61</v>
      </c>
      <c r="K73" s="121" t="s">
        <v>851</v>
      </c>
      <c r="L73" s="25"/>
      <c r="M73" s="7"/>
      <c r="N73" s="7"/>
      <c r="O73" s="7"/>
      <c r="P73" s="7"/>
      <c r="Q73" s="7"/>
    </row>
    <row r="74" spans="2:17" customFormat="1" ht="15" customHeight="1">
      <c r="B74" s="5" t="s">
        <v>162</v>
      </c>
      <c r="C74" s="130" t="s">
        <v>2352</v>
      </c>
      <c r="D74" s="5" t="s">
        <v>137</v>
      </c>
      <c r="E74" s="130" t="s">
        <v>46</v>
      </c>
      <c r="F74" s="5">
        <v>741201</v>
      </c>
      <c r="G74" s="119" t="s">
        <v>182</v>
      </c>
      <c r="H74" s="295" t="s">
        <v>1344</v>
      </c>
      <c r="I74" s="285">
        <v>1</v>
      </c>
      <c r="J74" s="141" t="s">
        <v>61</v>
      </c>
      <c r="K74" s="121" t="s">
        <v>851</v>
      </c>
      <c r="L74" s="25"/>
      <c r="M74" s="273"/>
      <c r="N74" s="273"/>
      <c r="O74" s="273"/>
      <c r="P74" s="273"/>
      <c r="Q74" s="273"/>
    </row>
    <row r="75" spans="2:17" customFormat="1" ht="15" customHeight="1">
      <c r="B75" s="5" t="s">
        <v>163</v>
      </c>
      <c r="C75" s="283" t="s">
        <v>139</v>
      </c>
      <c r="D75" s="5" t="s">
        <v>140</v>
      </c>
      <c r="E75" s="283" t="s">
        <v>36</v>
      </c>
      <c r="F75" s="119">
        <v>514101</v>
      </c>
      <c r="G75" s="119" t="s">
        <v>77</v>
      </c>
      <c r="H75" s="133" t="s">
        <v>1334</v>
      </c>
      <c r="I75" s="131">
        <v>9</v>
      </c>
      <c r="J75" s="7" t="s">
        <v>1485</v>
      </c>
      <c r="K75" s="122" t="s">
        <v>35</v>
      </c>
      <c r="L75" s="20"/>
      <c r="M75" s="7"/>
      <c r="N75" s="7"/>
      <c r="O75" s="43"/>
      <c r="P75" s="7"/>
      <c r="Q75" s="7"/>
    </row>
    <row r="76" spans="2:17" customFormat="1" ht="15" customHeight="1">
      <c r="B76" s="5" t="s">
        <v>164</v>
      </c>
      <c r="C76" s="283" t="s">
        <v>139</v>
      </c>
      <c r="D76" s="5" t="s">
        <v>140</v>
      </c>
      <c r="E76" s="207" t="s">
        <v>44</v>
      </c>
      <c r="F76" s="119">
        <v>512001</v>
      </c>
      <c r="G76" s="6" t="s">
        <v>81</v>
      </c>
      <c r="H76" s="133" t="s">
        <v>1335</v>
      </c>
      <c r="I76" s="131">
        <v>21</v>
      </c>
      <c r="J76" s="7" t="s">
        <v>1485</v>
      </c>
      <c r="K76" s="122" t="s">
        <v>35</v>
      </c>
      <c r="L76" s="20"/>
      <c r="M76" s="7"/>
      <c r="N76" s="7"/>
      <c r="O76" s="43"/>
      <c r="P76" s="7"/>
      <c r="Q76" s="7"/>
    </row>
    <row r="77" spans="2:17" customFormat="1" ht="15" customHeight="1">
      <c r="B77" s="5" t="s">
        <v>165</v>
      </c>
      <c r="C77" s="283" t="s">
        <v>139</v>
      </c>
      <c r="D77" s="5" t="s">
        <v>140</v>
      </c>
      <c r="E77" s="283" t="s">
        <v>45</v>
      </c>
      <c r="F77" s="119">
        <v>522301</v>
      </c>
      <c r="G77" s="119" t="s">
        <v>43</v>
      </c>
      <c r="H77" s="120" t="s">
        <v>1334</v>
      </c>
      <c r="I77" s="131">
        <v>10</v>
      </c>
      <c r="J77" s="7" t="s">
        <v>1485</v>
      </c>
      <c r="K77" s="122" t="s">
        <v>35</v>
      </c>
      <c r="L77" s="20"/>
      <c r="M77" s="7"/>
      <c r="N77" s="7"/>
      <c r="O77" s="43"/>
      <c r="P77" s="7"/>
      <c r="Q77" s="7"/>
    </row>
    <row r="78" spans="2:17" customFormat="1" ht="15" customHeight="1">
      <c r="B78" s="5" t="s">
        <v>166</v>
      </c>
      <c r="C78" s="283" t="s">
        <v>139</v>
      </c>
      <c r="D78" s="5" t="s">
        <v>140</v>
      </c>
      <c r="E78" s="130" t="s">
        <v>37</v>
      </c>
      <c r="F78" s="119">
        <v>751201</v>
      </c>
      <c r="G78" s="119" t="s">
        <v>183</v>
      </c>
      <c r="H78" s="119" t="s">
        <v>2362</v>
      </c>
      <c r="I78" s="131">
        <v>1</v>
      </c>
      <c r="J78" s="141" t="s">
        <v>117</v>
      </c>
      <c r="K78" s="122" t="s">
        <v>943</v>
      </c>
      <c r="L78" s="23"/>
      <c r="M78" s="7"/>
      <c r="N78" s="7"/>
      <c r="O78" s="7"/>
      <c r="P78" s="7"/>
      <c r="Q78" s="7"/>
    </row>
    <row r="79" spans="2:17" customFormat="1" ht="15" customHeight="1">
      <c r="B79" s="5" t="s">
        <v>167</v>
      </c>
      <c r="C79" s="283" t="s">
        <v>139</v>
      </c>
      <c r="D79" s="5" t="s">
        <v>140</v>
      </c>
      <c r="E79" s="130" t="s">
        <v>1435</v>
      </c>
      <c r="F79" s="119">
        <v>713203</v>
      </c>
      <c r="G79" s="119" t="s">
        <v>66</v>
      </c>
      <c r="H79" s="119" t="s">
        <v>1409</v>
      </c>
      <c r="I79" s="131">
        <v>8</v>
      </c>
      <c r="J79" s="141" t="s">
        <v>117</v>
      </c>
      <c r="K79" s="122" t="s">
        <v>943</v>
      </c>
      <c r="L79" s="23"/>
      <c r="M79" s="7"/>
      <c r="N79" s="7"/>
      <c r="O79" s="7"/>
      <c r="P79" s="7"/>
      <c r="Q79" s="7"/>
    </row>
    <row r="80" spans="2:17" customFormat="1" ht="15" customHeight="1">
      <c r="B80" s="5" t="s">
        <v>168</v>
      </c>
      <c r="C80" s="283" t="s">
        <v>139</v>
      </c>
      <c r="D80" s="5" t="s">
        <v>140</v>
      </c>
      <c r="E80" s="283" t="s">
        <v>34</v>
      </c>
      <c r="F80" s="119">
        <v>723103</v>
      </c>
      <c r="G80" s="119" t="s">
        <v>75</v>
      </c>
      <c r="H80" s="119" t="s">
        <v>1333</v>
      </c>
      <c r="I80" s="131">
        <v>29</v>
      </c>
      <c r="J80" s="7" t="s">
        <v>1485</v>
      </c>
      <c r="K80" s="122" t="s">
        <v>35</v>
      </c>
      <c r="L80" s="23"/>
      <c r="M80" s="7"/>
      <c r="N80" s="7"/>
      <c r="O80" s="43"/>
      <c r="P80" s="7"/>
      <c r="Q80" s="7"/>
    </row>
    <row r="81" spans="2:17" customFormat="1" ht="15" customHeight="1">
      <c r="B81" s="5" t="s">
        <v>169</v>
      </c>
      <c r="C81" s="283" t="s">
        <v>139</v>
      </c>
      <c r="D81" s="5" t="s">
        <v>140</v>
      </c>
      <c r="E81" s="130" t="s">
        <v>33</v>
      </c>
      <c r="F81" s="119">
        <v>752205</v>
      </c>
      <c r="G81" s="119" t="s">
        <v>69</v>
      </c>
      <c r="H81" s="119" t="s">
        <v>2414</v>
      </c>
      <c r="I81" s="131">
        <v>5</v>
      </c>
      <c r="J81" s="141" t="s">
        <v>117</v>
      </c>
      <c r="K81" s="122" t="s">
        <v>943</v>
      </c>
      <c r="L81" s="23"/>
      <c r="M81" s="7"/>
      <c r="N81" s="7"/>
      <c r="O81" s="7"/>
      <c r="P81" s="7"/>
      <c r="Q81" s="7"/>
    </row>
    <row r="82" spans="2:17" customFormat="1" ht="15" customHeight="1">
      <c r="B82" s="5" t="s">
        <v>170</v>
      </c>
      <c r="C82" s="283" t="s">
        <v>139</v>
      </c>
      <c r="D82" s="5" t="s">
        <v>140</v>
      </c>
      <c r="E82" s="221" t="s">
        <v>198</v>
      </c>
      <c r="F82" s="119">
        <v>712618</v>
      </c>
      <c r="G82" s="119" t="s">
        <v>86</v>
      </c>
      <c r="H82" s="119" t="s">
        <v>1434</v>
      </c>
      <c r="I82" s="131">
        <v>1</v>
      </c>
      <c r="J82" s="141" t="s">
        <v>117</v>
      </c>
      <c r="K82" s="122" t="s">
        <v>943</v>
      </c>
      <c r="L82" s="23"/>
      <c r="M82" s="7"/>
      <c r="N82" s="7"/>
      <c r="O82" s="7"/>
      <c r="P82" s="7"/>
      <c r="Q82" s="7"/>
    </row>
    <row r="83" spans="2:17" ht="30" customHeight="1">
      <c r="B83" s="5" t="s">
        <v>171</v>
      </c>
      <c r="C83" s="283" t="s">
        <v>142</v>
      </c>
      <c r="D83" s="119" t="s">
        <v>143</v>
      </c>
      <c r="E83" s="283" t="s">
        <v>45</v>
      </c>
      <c r="F83" s="119">
        <v>522301</v>
      </c>
      <c r="G83" s="119" t="s">
        <v>43</v>
      </c>
      <c r="H83" s="160" t="s">
        <v>2290</v>
      </c>
      <c r="I83" s="131">
        <v>4</v>
      </c>
      <c r="J83" s="280" t="s">
        <v>116</v>
      </c>
      <c r="K83" s="207" t="s">
        <v>942</v>
      </c>
      <c r="L83" s="20"/>
      <c r="M83" s="10"/>
      <c r="N83" s="10"/>
      <c r="O83" s="10"/>
      <c r="P83" s="10"/>
      <c r="Q83" s="281"/>
    </row>
    <row r="84" spans="2:17" ht="15" customHeight="1">
      <c r="B84" s="5" t="s">
        <v>172</v>
      </c>
      <c r="C84" s="283" t="s">
        <v>142</v>
      </c>
      <c r="D84" s="119" t="s">
        <v>143</v>
      </c>
      <c r="E84" s="207" t="s">
        <v>44</v>
      </c>
      <c r="F84" s="119">
        <v>512001</v>
      </c>
      <c r="G84" s="6" t="s">
        <v>81</v>
      </c>
      <c r="H84" s="160" t="s">
        <v>1405</v>
      </c>
      <c r="I84" s="131">
        <v>2</v>
      </c>
      <c r="J84" s="280" t="s">
        <v>116</v>
      </c>
      <c r="K84" s="207" t="s">
        <v>942</v>
      </c>
      <c r="L84" s="20"/>
      <c r="M84" s="10"/>
      <c r="N84" s="10"/>
      <c r="O84" s="10"/>
      <c r="P84" s="10"/>
      <c r="Q84" s="281"/>
    </row>
    <row r="85" spans="2:17" ht="60" customHeight="1">
      <c r="B85" s="5" t="s">
        <v>176</v>
      </c>
      <c r="C85" s="283" t="s">
        <v>142</v>
      </c>
      <c r="D85" s="119" t="s">
        <v>143</v>
      </c>
      <c r="E85" s="283" t="s">
        <v>36</v>
      </c>
      <c r="F85" s="119">
        <v>514101</v>
      </c>
      <c r="G85" s="119" t="s">
        <v>77</v>
      </c>
      <c r="H85" s="160" t="s">
        <v>2291</v>
      </c>
      <c r="I85" s="131">
        <v>8</v>
      </c>
      <c r="J85" s="280" t="s">
        <v>116</v>
      </c>
      <c r="K85" s="207" t="s">
        <v>942</v>
      </c>
      <c r="L85" s="20"/>
      <c r="M85" s="10"/>
      <c r="N85" s="10"/>
      <c r="O85" s="10"/>
      <c r="P85" s="10"/>
      <c r="Q85" s="281"/>
    </row>
    <row r="86" spans="2:17" customFormat="1" ht="15" customHeight="1">
      <c r="B86" s="5" t="s">
        <v>177</v>
      </c>
      <c r="C86" s="283" t="s">
        <v>142</v>
      </c>
      <c r="D86" s="5" t="s">
        <v>143</v>
      </c>
      <c r="E86" s="130" t="s">
        <v>52</v>
      </c>
      <c r="F86" s="119">
        <v>721306</v>
      </c>
      <c r="G86" s="119" t="s">
        <v>63</v>
      </c>
      <c r="H86" s="119" t="s">
        <v>2394</v>
      </c>
      <c r="I86" s="376">
        <v>0</v>
      </c>
      <c r="J86" s="141" t="s">
        <v>59</v>
      </c>
      <c r="K86" s="370" t="s">
        <v>105</v>
      </c>
      <c r="L86" s="21"/>
      <c r="M86" s="7"/>
      <c r="N86" s="7"/>
      <c r="O86" s="7"/>
      <c r="P86" s="7"/>
      <c r="Q86" s="7"/>
    </row>
    <row r="87" spans="2:17" customFormat="1" ht="15" customHeight="1">
      <c r="B87" s="5" t="s">
        <v>178</v>
      </c>
      <c r="C87" s="283" t="s">
        <v>142</v>
      </c>
      <c r="D87" s="5" t="s">
        <v>143</v>
      </c>
      <c r="E87" s="283" t="s">
        <v>34</v>
      </c>
      <c r="F87" s="119">
        <v>723103</v>
      </c>
      <c r="G87" s="119" t="s">
        <v>75</v>
      </c>
      <c r="H87" s="295" t="s">
        <v>1421</v>
      </c>
      <c r="I87" s="131">
        <v>2</v>
      </c>
      <c r="J87" s="141" t="s">
        <v>109</v>
      </c>
      <c r="K87" s="122" t="s">
        <v>237</v>
      </c>
      <c r="L87" s="22"/>
      <c r="M87" s="7"/>
      <c r="N87" s="7"/>
      <c r="O87" s="7"/>
      <c r="P87" s="7"/>
      <c r="Q87" s="7"/>
    </row>
    <row r="88" spans="2:17" customFormat="1" ht="15" customHeight="1">
      <c r="B88" s="5" t="s">
        <v>179</v>
      </c>
      <c r="C88" s="283" t="s">
        <v>142</v>
      </c>
      <c r="D88" s="5" t="s">
        <v>143</v>
      </c>
      <c r="E88" s="221" t="s">
        <v>198</v>
      </c>
      <c r="F88" s="119">
        <v>712618</v>
      </c>
      <c r="G88" s="119" t="s">
        <v>86</v>
      </c>
      <c r="H88" s="119" t="s">
        <v>1347</v>
      </c>
      <c r="I88" s="145">
        <v>1</v>
      </c>
      <c r="J88" s="141" t="s">
        <v>59</v>
      </c>
      <c r="K88" s="122" t="s">
        <v>105</v>
      </c>
      <c r="L88" s="21"/>
      <c r="M88" s="7"/>
      <c r="N88" s="7"/>
      <c r="O88" s="7"/>
      <c r="P88" s="7"/>
      <c r="Q88" s="7"/>
    </row>
    <row r="89" spans="2:17" customFormat="1" ht="15" customHeight="1">
      <c r="B89" s="5" t="s">
        <v>180</v>
      </c>
      <c r="C89" s="207" t="s">
        <v>1175</v>
      </c>
      <c r="D89" s="8" t="s">
        <v>587</v>
      </c>
      <c r="E89" s="283" t="s">
        <v>45</v>
      </c>
      <c r="F89" s="120">
        <v>522301</v>
      </c>
      <c r="G89" s="120" t="s">
        <v>43</v>
      </c>
      <c r="H89" s="120" t="s">
        <v>1334</v>
      </c>
      <c r="I89" s="137">
        <v>11</v>
      </c>
      <c r="J89" s="7" t="s">
        <v>1485</v>
      </c>
      <c r="K89" s="122" t="s">
        <v>35</v>
      </c>
      <c r="L89" s="21"/>
      <c r="M89" s="7"/>
      <c r="N89" s="7"/>
      <c r="O89" s="7"/>
      <c r="P89" s="7"/>
      <c r="Q89" s="7"/>
    </row>
    <row r="90" spans="2:17" customFormat="1" ht="15" customHeight="1">
      <c r="B90" s="5" t="s">
        <v>181</v>
      </c>
      <c r="C90" s="283" t="s">
        <v>173</v>
      </c>
      <c r="D90" s="5" t="s">
        <v>174</v>
      </c>
      <c r="E90" s="283" t="s">
        <v>36</v>
      </c>
      <c r="F90" s="119">
        <v>514101</v>
      </c>
      <c r="G90" s="119" t="s">
        <v>77</v>
      </c>
      <c r="H90" s="133" t="s">
        <v>1334</v>
      </c>
      <c r="I90" s="131">
        <v>5</v>
      </c>
      <c r="J90" s="7" t="s">
        <v>1485</v>
      </c>
      <c r="K90" s="122" t="s">
        <v>35</v>
      </c>
      <c r="L90" s="20"/>
      <c r="M90" s="7"/>
      <c r="N90" s="7"/>
      <c r="O90" s="7"/>
      <c r="P90" s="7"/>
      <c r="Q90" s="7"/>
    </row>
    <row r="91" spans="2:17" customFormat="1" ht="15" customHeight="1">
      <c r="B91" s="5" t="s">
        <v>286</v>
      </c>
      <c r="C91" s="283" t="s">
        <v>173</v>
      </c>
      <c r="D91" s="5" t="s">
        <v>174</v>
      </c>
      <c r="E91" s="283" t="s">
        <v>34</v>
      </c>
      <c r="F91" s="119">
        <v>723103</v>
      </c>
      <c r="G91" s="119" t="s">
        <v>75</v>
      </c>
      <c r="H91" s="119" t="s">
        <v>1345</v>
      </c>
      <c r="I91" s="145">
        <v>1</v>
      </c>
      <c r="J91" s="141" t="s">
        <v>59</v>
      </c>
      <c r="K91" s="122" t="s">
        <v>105</v>
      </c>
      <c r="L91" s="19"/>
      <c r="M91" s="7"/>
      <c r="N91" s="7"/>
      <c r="O91" s="7"/>
      <c r="P91" s="7"/>
      <c r="Q91" s="7"/>
    </row>
    <row r="92" spans="2:17" customFormat="1" ht="15" customHeight="1">
      <c r="B92" s="5" t="s">
        <v>287</v>
      </c>
      <c r="C92" s="283" t="s">
        <v>173</v>
      </c>
      <c r="D92" s="5" t="s">
        <v>174</v>
      </c>
      <c r="E92" s="283" t="s">
        <v>45</v>
      </c>
      <c r="F92" s="119">
        <v>522301</v>
      </c>
      <c r="G92" s="119" t="s">
        <v>43</v>
      </c>
      <c r="H92" s="120" t="s">
        <v>1334</v>
      </c>
      <c r="I92" s="131">
        <v>2</v>
      </c>
      <c r="J92" s="7" t="s">
        <v>1485</v>
      </c>
      <c r="K92" s="122" t="s">
        <v>35</v>
      </c>
      <c r="L92" s="20"/>
      <c r="M92" s="7"/>
      <c r="N92" s="7"/>
      <c r="O92" s="7"/>
      <c r="P92" s="7"/>
      <c r="Q92" s="7"/>
    </row>
    <row r="93" spans="2:17" customFormat="1" ht="15" customHeight="1">
      <c r="B93" s="5" t="s">
        <v>288</v>
      </c>
      <c r="C93" s="283" t="s">
        <v>173</v>
      </c>
      <c r="D93" s="5" t="s">
        <v>174</v>
      </c>
      <c r="E93" s="130" t="s">
        <v>175</v>
      </c>
      <c r="F93" s="119">
        <v>711204</v>
      </c>
      <c r="G93" s="119" t="s">
        <v>106</v>
      </c>
      <c r="H93" s="119" t="s">
        <v>1345</v>
      </c>
      <c r="I93" s="145">
        <v>2</v>
      </c>
      <c r="J93" s="141" t="s">
        <v>59</v>
      </c>
      <c r="K93" s="122" t="s">
        <v>105</v>
      </c>
      <c r="L93" s="21"/>
      <c r="M93" s="7"/>
      <c r="N93" s="7"/>
      <c r="O93" s="7"/>
      <c r="P93" s="7"/>
      <c r="Q93" s="7"/>
    </row>
    <row r="94" spans="2:17" customFormat="1" ht="15" customHeight="1">
      <c r="B94" s="5" t="s">
        <v>289</v>
      </c>
      <c r="C94" s="283" t="s">
        <v>173</v>
      </c>
      <c r="D94" s="5" t="s">
        <v>174</v>
      </c>
      <c r="E94" s="130" t="s">
        <v>37</v>
      </c>
      <c r="F94" s="119">
        <v>751201</v>
      </c>
      <c r="G94" s="119" t="s">
        <v>183</v>
      </c>
      <c r="H94" s="119" t="s">
        <v>1349</v>
      </c>
      <c r="I94" s="145">
        <v>1</v>
      </c>
      <c r="J94" s="141" t="s">
        <v>59</v>
      </c>
      <c r="K94" s="122" t="s">
        <v>105</v>
      </c>
      <c r="L94" s="21"/>
      <c r="M94" s="7"/>
      <c r="N94" s="7"/>
      <c r="O94" s="7"/>
      <c r="P94" s="7"/>
      <c r="Q94" s="7"/>
    </row>
    <row r="95" spans="2:17" customFormat="1" ht="15" customHeight="1">
      <c r="B95" s="5" t="s">
        <v>290</v>
      </c>
      <c r="C95" s="283" t="s">
        <v>173</v>
      </c>
      <c r="D95" s="5" t="s">
        <v>174</v>
      </c>
      <c r="E95" s="130" t="s">
        <v>103</v>
      </c>
      <c r="F95" s="119">
        <v>722307</v>
      </c>
      <c r="G95" s="119" t="s">
        <v>83</v>
      </c>
      <c r="H95" s="119" t="s">
        <v>1347</v>
      </c>
      <c r="I95" s="145">
        <v>3</v>
      </c>
      <c r="J95" s="141" t="s">
        <v>59</v>
      </c>
      <c r="K95" s="122" t="s">
        <v>105</v>
      </c>
      <c r="L95" s="21"/>
      <c r="M95" s="7"/>
      <c r="N95" s="7"/>
      <c r="O95" s="7"/>
      <c r="P95" s="7"/>
      <c r="Q95" s="7"/>
    </row>
    <row r="96" spans="2:17" customFormat="1" ht="15" customHeight="1">
      <c r="B96" s="5" t="s">
        <v>291</v>
      </c>
      <c r="C96" s="283" t="s">
        <v>187</v>
      </c>
      <c r="D96" s="5" t="s">
        <v>188</v>
      </c>
      <c r="E96" s="337" t="s">
        <v>36</v>
      </c>
      <c r="F96" s="119">
        <v>514101</v>
      </c>
      <c r="G96" s="119" t="s">
        <v>77</v>
      </c>
      <c r="H96" s="133" t="s">
        <v>1410</v>
      </c>
      <c r="I96" s="131">
        <v>3</v>
      </c>
      <c r="J96" s="141" t="s">
        <v>1174</v>
      </c>
      <c r="K96" s="122" t="s">
        <v>849</v>
      </c>
      <c r="L96" s="20"/>
      <c r="M96" s="7"/>
      <c r="N96" s="18"/>
      <c r="O96" s="7"/>
      <c r="P96" s="7"/>
      <c r="Q96" s="7"/>
    </row>
    <row r="97" spans="2:17" customFormat="1" ht="15" customHeight="1">
      <c r="B97" s="5" t="s">
        <v>292</v>
      </c>
      <c r="C97" s="283" t="s">
        <v>187</v>
      </c>
      <c r="D97" s="5" t="s">
        <v>188</v>
      </c>
      <c r="E97" s="283" t="s">
        <v>36</v>
      </c>
      <c r="F97" s="119">
        <v>514101</v>
      </c>
      <c r="G97" s="119" t="s">
        <v>77</v>
      </c>
      <c r="H97" s="133" t="s">
        <v>1413</v>
      </c>
      <c r="I97" s="131">
        <v>5</v>
      </c>
      <c r="J97" s="141" t="s">
        <v>1174</v>
      </c>
      <c r="K97" s="122" t="s">
        <v>849</v>
      </c>
      <c r="L97" s="20"/>
      <c r="M97" s="7"/>
      <c r="N97" s="18"/>
      <c r="O97" s="7"/>
      <c r="P97" s="7"/>
      <c r="Q97" s="7"/>
    </row>
    <row r="98" spans="2:17" customFormat="1" ht="15" customHeight="1">
      <c r="B98" s="5" t="s">
        <v>293</v>
      </c>
      <c r="C98" s="283" t="s">
        <v>187</v>
      </c>
      <c r="D98" s="5" t="s">
        <v>188</v>
      </c>
      <c r="E98" s="338" t="s">
        <v>45</v>
      </c>
      <c r="F98" s="119">
        <v>522301</v>
      </c>
      <c r="G98" s="119" t="s">
        <v>43</v>
      </c>
      <c r="H98" s="133" t="s">
        <v>1410</v>
      </c>
      <c r="I98" s="131">
        <v>5</v>
      </c>
      <c r="J98" s="141" t="s">
        <v>1174</v>
      </c>
      <c r="K98" s="122" t="s">
        <v>849</v>
      </c>
      <c r="L98" s="20"/>
      <c r="M98" s="7"/>
      <c r="N98" s="18"/>
      <c r="O98" s="7"/>
      <c r="P98" s="7"/>
      <c r="Q98" s="7"/>
    </row>
    <row r="99" spans="2:17" customFormat="1" ht="15" customHeight="1">
      <c r="B99" s="5" t="s">
        <v>294</v>
      </c>
      <c r="C99" s="283" t="s">
        <v>187</v>
      </c>
      <c r="D99" s="5" t="s">
        <v>188</v>
      </c>
      <c r="E99" s="283" t="s">
        <v>45</v>
      </c>
      <c r="F99" s="119">
        <v>522101</v>
      </c>
      <c r="G99" s="119" t="s">
        <v>43</v>
      </c>
      <c r="H99" s="119" t="s">
        <v>1410</v>
      </c>
      <c r="I99" s="131">
        <v>6</v>
      </c>
      <c r="J99" s="141" t="s">
        <v>1174</v>
      </c>
      <c r="K99" s="122" t="s">
        <v>849</v>
      </c>
      <c r="L99" s="23"/>
      <c r="M99" s="7"/>
      <c r="N99" s="18"/>
      <c r="O99" s="7"/>
      <c r="P99" s="7"/>
      <c r="Q99" s="7"/>
    </row>
    <row r="100" spans="2:17" customFormat="1" ht="15" customHeight="1">
      <c r="B100" s="5" t="s">
        <v>295</v>
      </c>
      <c r="C100" s="283" t="s">
        <v>187</v>
      </c>
      <c r="D100" s="5" t="s">
        <v>188</v>
      </c>
      <c r="E100" s="283" t="s">
        <v>34</v>
      </c>
      <c r="F100" s="119">
        <v>723103</v>
      </c>
      <c r="G100" s="119" t="s">
        <v>75</v>
      </c>
      <c r="H100" s="119" t="s">
        <v>1422</v>
      </c>
      <c r="I100" s="131">
        <v>14</v>
      </c>
      <c r="J100" s="141" t="s">
        <v>1174</v>
      </c>
      <c r="K100" s="122" t="s">
        <v>849</v>
      </c>
      <c r="L100" s="23"/>
      <c r="M100" s="7"/>
      <c r="N100" s="18"/>
      <c r="O100" s="7"/>
      <c r="P100" s="7"/>
      <c r="Q100" s="7"/>
    </row>
    <row r="101" spans="2:17" customFormat="1" ht="15" customHeight="1">
      <c r="B101" s="5" t="s">
        <v>296</v>
      </c>
      <c r="C101" s="283" t="s">
        <v>187</v>
      </c>
      <c r="D101" s="5" t="s">
        <v>188</v>
      </c>
      <c r="E101" s="283" t="s">
        <v>34</v>
      </c>
      <c r="F101" s="119">
        <v>723103</v>
      </c>
      <c r="G101" s="119" t="s">
        <v>75</v>
      </c>
      <c r="H101" s="119" t="s">
        <v>1421</v>
      </c>
      <c r="I101" s="131">
        <v>13</v>
      </c>
      <c r="J101" s="141" t="s">
        <v>1174</v>
      </c>
      <c r="K101" s="122" t="s">
        <v>849</v>
      </c>
      <c r="L101" s="23"/>
      <c r="M101" s="7"/>
      <c r="N101" s="18"/>
      <c r="O101" s="7"/>
      <c r="P101" s="7"/>
      <c r="Q101" s="7"/>
    </row>
    <row r="102" spans="2:17" customFormat="1" ht="15" customHeight="1">
      <c r="B102" s="5" t="s">
        <v>297</v>
      </c>
      <c r="C102" s="283" t="s">
        <v>187</v>
      </c>
      <c r="D102" s="5" t="s">
        <v>188</v>
      </c>
      <c r="E102" s="207" t="s">
        <v>44</v>
      </c>
      <c r="F102" s="119">
        <v>512001</v>
      </c>
      <c r="G102" s="6" t="s">
        <v>81</v>
      </c>
      <c r="H102" s="119" t="s">
        <v>1411</v>
      </c>
      <c r="I102" s="131">
        <v>4</v>
      </c>
      <c r="J102" s="141" t="s">
        <v>1174</v>
      </c>
      <c r="K102" s="122" t="s">
        <v>849</v>
      </c>
      <c r="L102" s="23"/>
      <c r="M102" s="7"/>
      <c r="N102" s="18"/>
      <c r="O102" s="7"/>
      <c r="P102" s="7"/>
      <c r="Q102" s="7"/>
    </row>
    <row r="103" spans="2:17" customFormat="1" ht="15" customHeight="1">
      <c r="B103" s="5" t="s">
        <v>298</v>
      </c>
      <c r="C103" s="283" t="s">
        <v>187</v>
      </c>
      <c r="D103" s="5" t="s">
        <v>188</v>
      </c>
      <c r="E103" s="337" t="s">
        <v>44</v>
      </c>
      <c r="F103" s="119">
        <v>512001</v>
      </c>
      <c r="G103" s="6" t="s">
        <v>81</v>
      </c>
      <c r="H103" s="119" t="s">
        <v>1422</v>
      </c>
      <c r="I103" s="131">
        <v>9</v>
      </c>
      <c r="J103" s="141" t="s">
        <v>1174</v>
      </c>
      <c r="K103" s="122" t="s">
        <v>849</v>
      </c>
      <c r="L103" s="23"/>
      <c r="M103" s="7"/>
      <c r="N103" s="18"/>
      <c r="O103" s="7"/>
      <c r="P103" s="7"/>
      <c r="Q103" s="7"/>
    </row>
    <row r="104" spans="2:17" customFormat="1" ht="15" customHeight="1">
      <c r="B104" s="5" t="s">
        <v>299</v>
      </c>
      <c r="C104" s="283" t="s">
        <v>187</v>
      </c>
      <c r="D104" s="5" t="s">
        <v>188</v>
      </c>
      <c r="E104" s="130" t="s">
        <v>38</v>
      </c>
      <c r="F104" s="119">
        <v>741103</v>
      </c>
      <c r="G104" s="119" t="s">
        <v>54</v>
      </c>
      <c r="H104" s="119" t="s">
        <v>2394</v>
      </c>
      <c r="I104" s="145">
        <v>2</v>
      </c>
      <c r="J104" s="141" t="s">
        <v>59</v>
      </c>
      <c r="K104" s="122" t="s">
        <v>105</v>
      </c>
      <c r="L104" s="21"/>
      <c r="M104" s="7"/>
      <c r="N104" s="7"/>
      <c r="O104" s="7"/>
      <c r="P104" s="7"/>
      <c r="Q104" s="7"/>
    </row>
    <row r="105" spans="2:17" customFormat="1" ht="15" customHeight="1">
      <c r="B105" s="5" t="s">
        <v>300</v>
      </c>
      <c r="C105" s="283" t="s">
        <v>187</v>
      </c>
      <c r="D105" s="5" t="s">
        <v>188</v>
      </c>
      <c r="E105" s="130" t="s">
        <v>1435</v>
      </c>
      <c r="F105" s="119">
        <v>713201</v>
      </c>
      <c r="G105" s="119" t="s">
        <v>66</v>
      </c>
      <c r="H105" s="119" t="s">
        <v>1344</v>
      </c>
      <c r="I105" s="145">
        <v>1</v>
      </c>
      <c r="J105" s="141" t="s">
        <v>59</v>
      </c>
      <c r="K105" s="122" t="s">
        <v>105</v>
      </c>
      <c r="L105" s="21"/>
      <c r="M105" s="7"/>
      <c r="N105" s="7"/>
      <c r="O105" s="7"/>
      <c r="P105" s="7"/>
      <c r="Q105" s="7"/>
    </row>
    <row r="106" spans="2:17" customFormat="1" ht="15" customHeight="1">
      <c r="B106" s="5" t="s">
        <v>301</v>
      </c>
      <c r="C106" s="283" t="s">
        <v>187</v>
      </c>
      <c r="D106" s="5" t="s">
        <v>188</v>
      </c>
      <c r="E106" s="130" t="s">
        <v>1435</v>
      </c>
      <c r="F106" s="119">
        <v>713201</v>
      </c>
      <c r="G106" s="119" t="s">
        <v>66</v>
      </c>
      <c r="H106" s="119" t="s">
        <v>1344</v>
      </c>
      <c r="I106" s="145">
        <v>1</v>
      </c>
      <c r="J106" s="141" t="s">
        <v>59</v>
      </c>
      <c r="K106" s="122" t="s">
        <v>105</v>
      </c>
      <c r="L106" s="21"/>
      <c r="M106" s="7"/>
      <c r="N106" s="7"/>
      <c r="O106" s="7"/>
      <c r="P106" s="7"/>
      <c r="Q106" s="7"/>
    </row>
    <row r="107" spans="2:17" customFormat="1" ht="15" customHeight="1">
      <c r="B107" s="5" t="s">
        <v>302</v>
      </c>
      <c r="C107" s="283" t="s">
        <v>187</v>
      </c>
      <c r="D107" s="119" t="s">
        <v>188</v>
      </c>
      <c r="E107" s="130" t="s">
        <v>189</v>
      </c>
      <c r="F107" s="119">
        <v>712906</v>
      </c>
      <c r="G107" s="119" t="s">
        <v>855</v>
      </c>
      <c r="H107" s="119" t="s">
        <v>1424</v>
      </c>
      <c r="I107" s="131">
        <v>4</v>
      </c>
      <c r="J107" s="141" t="s">
        <v>61</v>
      </c>
      <c r="K107" s="121" t="s">
        <v>851</v>
      </c>
      <c r="L107" s="23"/>
      <c r="M107" s="7"/>
      <c r="N107" s="7"/>
      <c r="O107" s="7"/>
      <c r="P107" s="7"/>
      <c r="Q107" s="7"/>
    </row>
    <row r="108" spans="2:17" customFormat="1" ht="15" customHeight="1">
      <c r="B108" s="5" t="s">
        <v>303</v>
      </c>
      <c r="C108" s="283" t="s">
        <v>187</v>
      </c>
      <c r="D108" s="5" t="s">
        <v>188</v>
      </c>
      <c r="E108" s="130" t="s">
        <v>33</v>
      </c>
      <c r="F108" s="119">
        <v>752205</v>
      </c>
      <c r="G108" s="119" t="s">
        <v>69</v>
      </c>
      <c r="H108" s="119" t="s">
        <v>1343</v>
      </c>
      <c r="I108" s="145">
        <v>1</v>
      </c>
      <c r="J108" s="141" t="s">
        <v>59</v>
      </c>
      <c r="K108" s="122" t="s">
        <v>105</v>
      </c>
      <c r="L108" s="21"/>
      <c r="M108" s="7"/>
      <c r="N108" s="7"/>
      <c r="O108" s="7"/>
      <c r="P108" s="7"/>
      <c r="Q108" s="7"/>
    </row>
    <row r="109" spans="2:17" customFormat="1" ht="15" customHeight="1">
      <c r="B109" s="5" t="s">
        <v>304</v>
      </c>
      <c r="C109" s="283" t="s">
        <v>1331</v>
      </c>
      <c r="D109" s="5" t="s">
        <v>192</v>
      </c>
      <c r="E109" s="130" t="s">
        <v>175</v>
      </c>
      <c r="F109" s="119">
        <v>711204</v>
      </c>
      <c r="G109" s="119" t="s">
        <v>106</v>
      </c>
      <c r="H109" s="119" t="s">
        <v>1345</v>
      </c>
      <c r="I109" s="145">
        <v>2</v>
      </c>
      <c r="J109" s="141" t="s">
        <v>59</v>
      </c>
      <c r="K109" s="122" t="s">
        <v>105</v>
      </c>
      <c r="L109" s="21"/>
      <c r="M109" s="7"/>
      <c r="N109" s="7"/>
      <c r="O109" s="7"/>
      <c r="P109" s="7"/>
      <c r="Q109" s="7"/>
    </row>
    <row r="110" spans="2:17" customFormat="1" ht="15" customHeight="1">
      <c r="B110" s="5" t="s">
        <v>305</v>
      </c>
      <c r="C110" s="283" t="s">
        <v>1331</v>
      </c>
      <c r="D110" s="5" t="s">
        <v>192</v>
      </c>
      <c r="E110" s="283" t="s">
        <v>36</v>
      </c>
      <c r="F110" s="119">
        <v>514101</v>
      </c>
      <c r="G110" s="119" t="s">
        <v>77</v>
      </c>
      <c r="H110" s="119" t="s">
        <v>1405</v>
      </c>
      <c r="I110" s="131">
        <v>11</v>
      </c>
      <c r="J110" s="130" t="s">
        <v>191</v>
      </c>
      <c r="K110" s="122" t="s">
        <v>945</v>
      </c>
      <c r="L110" s="28"/>
      <c r="M110" s="7"/>
      <c r="N110" s="7"/>
      <c r="O110" s="7"/>
      <c r="P110" s="7"/>
      <c r="Q110" s="7"/>
    </row>
    <row r="111" spans="2:17" customFormat="1" ht="15" customHeight="1">
      <c r="B111" s="5" t="s">
        <v>306</v>
      </c>
      <c r="C111" s="283" t="s">
        <v>1331</v>
      </c>
      <c r="D111" s="5" t="s">
        <v>192</v>
      </c>
      <c r="E111" s="283" t="s">
        <v>45</v>
      </c>
      <c r="F111" s="119">
        <v>522301</v>
      </c>
      <c r="G111" s="119" t="s">
        <v>43</v>
      </c>
      <c r="H111" s="119" t="s">
        <v>1348</v>
      </c>
      <c r="I111" s="145">
        <v>10</v>
      </c>
      <c r="J111" s="141" t="s">
        <v>59</v>
      </c>
      <c r="K111" s="122" t="s">
        <v>105</v>
      </c>
      <c r="L111" s="21"/>
      <c r="M111" s="7"/>
      <c r="N111" s="7"/>
      <c r="O111" s="7"/>
      <c r="P111" s="7"/>
      <c r="Q111" s="7"/>
    </row>
    <row r="112" spans="2:17" customFormat="1" ht="15" customHeight="1">
      <c r="B112" s="5" t="s">
        <v>307</v>
      </c>
      <c r="C112" s="283" t="s">
        <v>1331</v>
      </c>
      <c r="D112" s="119" t="s">
        <v>192</v>
      </c>
      <c r="E112" s="130" t="s">
        <v>56</v>
      </c>
      <c r="F112" s="119">
        <v>712905</v>
      </c>
      <c r="G112" s="119" t="s">
        <v>67</v>
      </c>
      <c r="H112" s="119" t="s">
        <v>2246</v>
      </c>
      <c r="I112" s="131">
        <v>1</v>
      </c>
      <c r="J112" s="141" t="s">
        <v>61</v>
      </c>
      <c r="K112" s="121" t="s">
        <v>851</v>
      </c>
      <c r="L112" s="22"/>
      <c r="M112" s="7"/>
      <c r="N112" s="7"/>
      <c r="O112" s="7"/>
      <c r="P112" s="7"/>
      <c r="Q112" s="7"/>
    </row>
    <row r="113" spans="2:19" customFormat="1" ht="15" customHeight="1">
      <c r="B113" s="5" t="s">
        <v>308</v>
      </c>
      <c r="C113" s="283" t="s">
        <v>1331</v>
      </c>
      <c r="D113" s="5" t="s">
        <v>192</v>
      </c>
      <c r="E113" s="207" t="s">
        <v>44</v>
      </c>
      <c r="F113" s="119">
        <v>512001</v>
      </c>
      <c r="G113" s="6" t="s">
        <v>81</v>
      </c>
      <c r="H113" s="119" t="s">
        <v>1343</v>
      </c>
      <c r="I113" s="145">
        <v>7</v>
      </c>
      <c r="J113" s="141" t="s">
        <v>59</v>
      </c>
      <c r="K113" s="122" t="s">
        <v>105</v>
      </c>
      <c r="L113" s="21"/>
      <c r="M113" s="7"/>
      <c r="N113" s="7"/>
      <c r="O113" s="7"/>
      <c r="P113" s="7"/>
      <c r="Q113" s="7"/>
    </row>
    <row r="114" spans="2:19" customFormat="1" ht="15" customHeight="1">
      <c r="B114" s="5" t="s">
        <v>309</v>
      </c>
      <c r="C114" s="283" t="s">
        <v>1331</v>
      </c>
      <c r="D114" s="5" t="s">
        <v>192</v>
      </c>
      <c r="E114" s="130" t="s">
        <v>38</v>
      </c>
      <c r="F114" s="119">
        <v>741103</v>
      </c>
      <c r="G114" s="119" t="s">
        <v>54</v>
      </c>
      <c r="H114" s="119" t="s">
        <v>2394</v>
      </c>
      <c r="I114" s="145">
        <v>1</v>
      </c>
      <c r="J114" s="141" t="s">
        <v>59</v>
      </c>
      <c r="K114" s="122" t="s">
        <v>105</v>
      </c>
      <c r="L114" s="21"/>
      <c r="M114" s="7"/>
      <c r="N114" s="7"/>
      <c r="O114" s="7"/>
      <c r="P114" s="7"/>
      <c r="Q114" s="7"/>
    </row>
    <row r="115" spans="2:19" customFormat="1" ht="15" customHeight="1">
      <c r="B115" s="5" t="s">
        <v>310</v>
      </c>
      <c r="C115" s="283" t="s">
        <v>1331</v>
      </c>
      <c r="D115" s="5" t="s">
        <v>192</v>
      </c>
      <c r="E115" s="130" t="s">
        <v>37</v>
      </c>
      <c r="F115" s="5">
        <v>751201</v>
      </c>
      <c r="G115" s="119" t="s">
        <v>183</v>
      </c>
      <c r="H115" s="119" t="s">
        <v>1349</v>
      </c>
      <c r="I115" s="145">
        <v>4</v>
      </c>
      <c r="J115" s="141" t="s">
        <v>59</v>
      </c>
      <c r="K115" s="122" t="s">
        <v>105</v>
      </c>
      <c r="L115" s="24"/>
      <c r="M115" s="7"/>
      <c r="N115" s="7"/>
      <c r="O115" s="7"/>
      <c r="P115" s="7"/>
      <c r="Q115" s="7"/>
    </row>
    <row r="116" spans="2:19" customFormat="1" ht="15" customHeight="1">
      <c r="B116" s="5" t="s">
        <v>311</v>
      </c>
      <c r="C116" s="283" t="s">
        <v>1331</v>
      </c>
      <c r="D116" s="5" t="s">
        <v>192</v>
      </c>
      <c r="E116" s="130" t="s">
        <v>57</v>
      </c>
      <c r="F116" s="5">
        <v>751204</v>
      </c>
      <c r="G116" s="119" t="s">
        <v>68</v>
      </c>
      <c r="H116" s="119" t="s">
        <v>1348</v>
      </c>
      <c r="I116" s="145">
        <v>4</v>
      </c>
      <c r="J116" s="141" t="s">
        <v>59</v>
      </c>
      <c r="K116" s="122" t="s">
        <v>105</v>
      </c>
      <c r="L116" s="24"/>
      <c r="M116" s="7"/>
      <c r="N116" s="7"/>
      <c r="O116" s="7"/>
      <c r="P116" s="7"/>
      <c r="Q116" s="7"/>
    </row>
    <row r="117" spans="2:19" customFormat="1" ht="15" customHeight="1">
      <c r="B117" s="5" t="s">
        <v>312</v>
      </c>
      <c r="C117" s="283" t="s">
        <v>1331</v>
      </c>
      <c r="D117" s="5" t="s">
        <v>192</v>
      </c>
      <c r="E117" s="130" t="s">
        <v>193</v>
      </c>
      <c r="F117" s="119">
        <v>962907</v>
      </c>
      <c r="G117" s="119" t="s">
        <v>194</v>
      </c>
      <c r="H117" s="119" t="s">
        <v>1411</v>
      </c>
      <c r="I117" s="131">
        <v>10</v>
      </c>
      <c r="J117" s="141" t="s">
        <v>1174</v>
      </c>
      <c r="K117" s="122" t="s">
        <v>849</v>
      </c>
      <c r="L117" s="25"/>
      <c r="M117" s="7"/>
      <c r="N117" s="18"/>
      <c r="O117" s="7"/>
      <c r="P117" s="7"/>
      <c r="Q117" s="7"/>
    </row>
    <row r="118" spans="2:19" customFormat="1" ht="15" customHeight="1">
      <c r="B118" s="5" t="s">
        <v>313</v>
      </c>
      <c r="C118" s="283" t="s">
        <v>1331</v>
      </c>
      <c r="D118" s="5" t="s">
        <v>192</v>
      </c>
      <c r="E118" s="130" t="s">
        <v>52</v>
      </c>
      <c r="F118" s="119">
        <v>721306</v>
      </c>
      <c r="G118" s="119" t="s">
        <v>63</v>
      </c>
      <c r="H118" s="119" t="s">
        <v>2394</v>
      </c>
      <c r="I118" s="145">
        <v>1</v>
      </c>
      <c r="J118" s="141" t="s">
        <v>59</v>
      </c>
      <c r="K118" s="122" t="s">
        <v>105</v>
      </c>
      <c r="L118" s="25"/>
      <c r="M118" s="7"/>
      <c r="N118" s="7"/>
      <c r="O118" s="7"/>
      <c r="P118" s="7"/>
      <c r="Q118" s="7"/>
    </row>
    <row r="119" spans="2:19" customFormat="1" ht="15" customHeight="1">
      <c r="B119" s="5" t="s">
        <v>314</v>
      </c>
      <c r="C119" s="283" t="s">
        <v>1331</v>
      </c>
      <c r="D119" s="5" t="s">
        <v>192</v>
      </c>
      <c r="E119" s="283" t="s">
        <v>34</v>
      </c>
      <c r="F119" s="5">
        <v>723103</v>
      </c>
      <c r="G119" s="119" t="s">
        <v>75</v>
      </c>
      <c r="H119" s="119" t="s">
        <v>1345</v>
      </c>
      <c r="I119" s="131">
        <v>11</v>
      </c>
      <c r="J119" s="130" t="s">
        <v>191</v>
      </c>
      <c r="K119" s="370" t="s">
        <v>945</v>
      </c>
      <c r="L119" s="29"/>
      <c r="M119" s="7"/>
      <c r="N119" s="7"/>
      <c r="O119" s="7"/>
      <c r="P119" s="7"/>
      <c r="Q119" s="7"/>
    </row>
    <row r="120" spans="2:19" customFormat="1" ht="15" customHeight="1">
      <c r="B120" s="5" t="s">
        <v>315</v>
      </c>
      <c r="C120" s="283" t="s">
        <v>1331</v>
      </c>
      <c r="D120" s="5" t="s">
        <v>192</v>
      </c>
      <c r="E120" s="221" t="s">
        <v>198</v>
      </c>
      <c r="F120" s="8">
        <v>712618</v>
      </c>
      <c r="G120" s="120" t="s">
        <v>86</v>
      </c>
      <c r="H120" s="120" t="s">
        <v>1347</v>
      </c>
      <c r="I120" s="376">
        <v>0</v>
      </c>
      <c r="J120" s="141" t="s">
        <v>59</v>
      </c>
      <c r="K120" s="122" t="s">
        <v>105</v>
      </c>
      <c r="L120" s="29"/>
      <c r="M120" s="7"/>
      <c r="N120" s="7"/>
      <c r="O120" s="7"/>
      <c r="P120" s="7"/>
      <c r="Q120" s="7"/>
    </row>
    <row r="121" spans="2:19" customFormat="1" ht="15" customHeight="1">
      <c r="B121" s="5" t="s">
        <v>316</v>
      </c>
      <c r="C121" s="283" t="s">
        <v>1331</v>
      </c>
      <c r="D121" s="5" t="s">
        <v>192</v>
      </c>
      <c r="E121" s="130" t="s">
        <v>33</v>
      </c>
      <c r="F121" s="5">
        <v>752205</v>
      </c>
      <c r="G121" s="119" t="s">
        <v>69</v>
      </c>
      <c r="H121" s="119" t="s">
        <v>1343</v>
      </c>
      <c r="I121" s="145">
        <v>4</v>
      </c>
      <c r="J121" s="141" t="s">
        <v>59</v>
      </c>
      <c r="K121" s="122" t="s">
        <v>105</v>
      </c>
      <c r="L121" s="24"/>
      <c r="M121" s="7"/>
      <c r="N121" s="7"/>
      <c r="O121" s="7"/>
      <c r="P121" s="7"/>
      <c r="Q121" s="7"/>
    </row>
    <row r="122" spans="2:19" customFormat="1" ht="15" customHeight="1">
      <c r="B122" s="5" t="s">
        <v>317</v>
      </c>
      <c r="C122" s="283" t="s">
        <v>210</v>
      </c>
      <c r="D122" s="5" t="s">
        <v>211</v>
      </c>
      <c r="E122" s="130" t="s">
        <v>37</v>
      </c>
      <c r="F122" s="119">
        <v>751201</v>
      </c>
      <c r="G122" s="119" t="s">
        <v>183</v>
      </c>
      <c r="H122" s="119" t="s">
        <v>2414</v>
      </c>
      <c r="I122" s="131">
        <v>1</v>
      </c>
      <c r="J122" s="141" t="s">
        <v>117</v>
      </c>
      <c r="K122" s="122" t="s">
        <v>943</v>
      </c>
      <c r="L122" s="20"/>
      <c r="M122" s="7"/>
      <c r="N122" s="7"/>
      <c r="O122" s="7"/>
      <c r="P122" s="7"/>
      <c r="Q122" s="7"/>
    </row>
    <row r="123" spans="2:19" customFormat="1" ht="15" customHeight="1">
      <c r="B123" s="5" t="s">
        <v>318</v>
      </c>
      <c r="C123" s="283" t="s">
        <v>210</v>
      </c>
      <c r="D123" s="5" t="s">
        <v>211</v>
      </c>
      <c r="E123" s="130" t="s">
        <v>53</v>
      </c>
      <c r="F123" s="119">
        <v>741203</v>
      </c>
      <c r="G123" s="119" t="s">
        <v>64</v>
      </c>
      <c r="H123" s="119" t="s">
        <v>1349</v>
      </c>
      <c r="I123" s="145">
        <v>1</v>
      </c>
      <c r="J123" s="141" t="s">
        <v>59</v>
      </c>
      <c r="K123" s="122" t="s">
        <v>105</v>
      </c>
      <c r="L123" s="19"/>
      <c r="M123" s="7"/>
      <c r="N123" s="7"/>
      <c r="O123" s="7"/>
      <c r="P123" s="7"/>
      <c r="Q123" s="7"/>
    </row>
    <row r="124" spans="2:19" customFormat="1" ht="15" customHeight="1">
      <c r="B124" s="5" t="s">
        <v>319</v>
      </c>
      <c r="C124" s="283" t="s">
        <v>210</v>
      </c>
      <c r="D124" s="5" t="s">
        <v>211</v>
      </c>
      <c r="E124" s="130" t="s">
        <v>38</v>
      </c>
      <c r="F124" s="119">
        <v>741103</v>
      </c>
      <c r="G124" s="119" t="s">
        <v>54</v>
      </c>
      <c r="H124" s="133" t="s">
        <v>2331</v>
      </c>
      <c r="I124" s="131">
        <v>3</v>
      </c>
      <c r="J124" s="141" t="s">
        <v>117</v>
      </c>
      <c r="K124" s="122" t="s">
        <v>943</v>
      </c>
      <c r="L124" s="20"/>
      <c r="M124" s="7"/>
      <c r="N124" s="7"/>
      <c r="O124" s="7"/>
      <c r="P124" s="7"/>
      <c r="Q124" s="7"/>
    </row>
    <row r="125" spans="2:19" customFormat="1" ht="15" customHeight="1">
      <c r="B125" s="5" t="s">
        <v>320</v>
      </c>
      <c r="C125" s="283" t="s">
        <v>210</v>
      </c>
      <c r="D125" s="5" t="s">
        <v>211</v>
      </c>
      <c r="E125" s="283" t="s">
        <v>36</v>
      </c>
      <c r="F125" s="119">
        <v>514101</v>
      </c>
      <c r="G125" s="119" t="s">
        <v>77</v>
      </c>
      <c r="H125" s="119" t="s">
        <v>2248</v>
      </c>
      <c r="I125" s="131">
        <v>2</v>
      </c>
      <c r="J125" s="141" t="s">
        <v>117</v>
      </c>
      <c r="K125" s="122" t="s">
        <v>943</v>
      </c>
      <c r="L125" s="23"/>
      <c r="M125" s="7"/>
      <c r="N125" s="7"/>
      <c r="O125" s="7"/>
      <c r="P125" s="7"/>
      <c r="Q125" s="7"/>
    </row>
    <row r="126" spans="2:19" customFormat="1" ht="15" customHeight="1">
      <c r="B126" s="5" t="s">
        <v>321</v>
      </c>
      <c r="C126" s="283" t="s">
        <v>210</v>
      </c>
      <c r="D126" s="5" t="s">
        <v>211</v>
      </c>
      <c r="E126" s="283" t="s">
        <v>34</v>
      </c>
      <c r="F126" s="119">
        <v>723103</v>
      </c>
      <c r="G126" s="119" t="s">
        <v>75</v>
      </c>
      <c r="H126" s="119" t="s">
        <v>2414</v>
      </c>
      <c r="I126" s="131">
        <v>5</v>
      </c>
      <c r="J126" s="141" t="s">
        <v>117</v>
      </c>
      <c r="K126" s="122" t="s">
        <v>943</v>
      </c>
      <c r="L126" s="23"/>
      <c r="M126" s="7"/>
      <c r="N126" s="7"/>
      <c r="O126" s="7"/>
      <c r="P126" s="7"/>
      <c r="Q126" s="7"/>
    </row>
    <row r="127" spans="2:19" customFormat="1" ht="15" customHeight="1">
      <c r="B127" s="5" t="s">
        <v>322</v>
      </c>
      <c r="C127" s="283" t="s">
        <v>210</v>
      </c>
      <c r="D127" s="5" t="s">
        <v>211</v>
      </c>
      <c r="E127" s="130" t="s">
        <v>533</v>
      </c>
      <c r="F127" s="119">
        <v>723310</v>
      </c>
      <c r="G127" s="119" t="s">
        <v>282</v>
      </c>
      <c r="H127" s="367" t="s">
        <v>2361</v>
      </c>
      <c r="I127" s="131">
        <v>1</v>
      </c>
      <c r="J127" s="141" t="s">
        <v>117</v>
      </c>
      <c r="K127" s="122" t="s">
        <v>943</v>
      </c>
      <c r="L127" s="23"/>
      <c r="M127" s="7"/>
      <c r="N127" s="7"/>
      <c r="O127" s="7"/>
      <c r="P127" s="7"/>
      <c r="Q127" s="7"/>
      <c r="S127" t="s">
        <v>2385</v>
      </c>
    </row>
    <row r="128" spans="2:19" customFormat="1" ht="15" customHeight="1">
      <c r="B128" s="5" t="s">
        <v>323</v>
      </c>
      <c r="C128" s="283" t="s">
        <v>210</v>
      </c>
      <c r="D128" s="5" t="s">
        <v>211</v>
      </c>
      <c r="E128" s="283" t="s">
        <v>45</v>
      </c>
      <c r="F128" s="119">
        <v>522301</v>
      </c>
      <c r="G128" s="119" t="s">
        <v>43</v>
      </c>
      <c r="H128" s="119" t="s">
        <v>1409</v>
      </c>
      <c r="I128" s="131">
        <v>2</v>
      </c>
      <c r="J128" s="141" t="s">
        <v>117</v>
      </c>
      <c r="K128" s="122" t="s">
        <v>943</v>
      </c>
      <c r="L128" s="23"/>
      <c r="M128" s="7"/>
      <c r="N128" s="7"/>
      <c r="O128" s="7"/>
      <c r="P128" s="7"/>
      <c r="Q128" s="7"/>
    </row>
    <row r="129" spans="2:17" customFormat="1" ht="15" customHeight="1">
      <c r="B129" s="5" t="s">
        <v>324</v>
      </c>
      <c r="C129" s="283" t="s">
        <v>210</v>
      </c>
      <c r="D129" s="5" t="s">
        <v>211</v>
      </c>
      <c r="E129" s="130" t="s">
        <v>33</v>
      </c>
      <c r="F129" s="119">
        <v>752205</v>
      </c>
      <c r="G129" s="119" t="s">
        <v>69</v>
      </c>
      <c r="H129" s="133" t="s">
        <v>2331</v>
      </c>
      <c r="I129" s="131">
        <v>21</v>
      </c>
      <c r="J129" s="141" t="s">
        <v>117</v>
      </c>
      <c r="K129" s="122" t="s">
        <v>943</v>
      </c>
      <c r="L129" s="23"/>
      <c r="M129" s="7"/>
      <c r="N129" s="7"/>
      <c r="O129" s="7"/>
      <c r="P129" s="7"/>
      <c r="Q129" s="7"/>
    </row>
    <row r="130" spans="2:17" customFormat="1" ht="15" customHeight="1">
      <c r="B130" s="5" t="s">
        <v>325</v>
      </c>
      <c r="C130" s="283" t="s">
        <v>210</v>
      </c>
      <c r="D130" s="5" t="s">
        <v>211</v>
      </c>
      <c r="E130" s="130" t="s">
        <v>58</v>
      </c>
      <c r="F130" s="119">
        <v>753402</v>
      </c>
      <c r="G130" s="119" t="s">
        <v>70</v>
      </c>
      <c r="H130" s="119" t="s">
        <v>2248</v>
      </c>
      <c r="I130" s="131">
        <v>13</v>
      </c>
      <c r="J130" s="141" t="s">
        <v>117</v>
      </c>
      <c r="K130" s="122" t="s">
        <v>943</v>
      </c>
      <c r="L130" s="23"/>
      <c r="M130" s="7"/>
      <c r="N130" s="7"/>
      <c r="O130" s="7"/>
      <c r="P130" s="7"/>
      <c r="Q130" s="7"/>
    </row>
    <row r="131" spans="2:17" customFormat="1" ht="15" customHeight="1">
      <c r="B131" s="5" t="s">
        <v>326</v>
      </c>
      <c r="C131" s="283" t="s">
        <v>210</v>
      </c>
      <c r="D131" s="5" t="s">
        <v>211</v>
      </c>
      <c r="E131" s="130" t="s">
        <v>206</v>
      </c>
      <c r="F131" s="119">
        <v>722204</v>
      </c>
      <c r="G131" s="119" t="s">
        <v>185</v>
      </c>
      <c r="H131" s="119" t="s">
        <v>1407</v>
      </c>
      <c r="I131" s="131">
        <v>1</v>
      </c>
      <c r="J131" s="141" t="s">
        <v>212</v>
      </c>
      <c r="K131" s="121" t="s">
        <v>852</v>
      </c>
      <c r="L131" s="23"/>
      <c r="M131" s="7"/>
      <c r="N131" s="7"/>
      <c r="O131" s="7"/>
      <c r="P131" s="7"/>
      <c r="Q131" s="7"/>
    </row>
    <row r="132" spans="2:17" customFormat="1" ht="15" customHeight="1">
      <c r="B132" s="5" t="s">
        <v>327</v>
      </c>
      <c r="C132" s="283" t="s">
        <v>213</v>
      </c>
      <c r="D132" s="5" t="s">
        <v>214</v>
      </c>
      <c r="E132" s="130" t="s">
        <v>56</v>
      </c>
      <c r="F132" s="119">
        <v>712905</v>
      </c>
      <c r="G132" s="119" t="s">
        <v>67</v>
      </c>
      <c r="H132" s="119" t="s">
        <v>1413</v>
      </c>
      <c r="I132" s="131">
        <v>2</v>
      </c>
      <c r="J132" s="141" t="s">
        <v>219</v>
      </c>
      <c r="K132" s="121" t="s">
        <v>852</v>
      </c>
      <c r="L132" s="23"/>
      <c r="M132" s="7"/>
      <c r="N132" s="7"/>
      <c r="O132" s="7"/>
      <c r="P132" s="7"/>
      <c r="Q132" s="7"/>
    </row>
    <row r="133" spans="2:17" customFormat="1" ht="15" customHeight="1">
      <c r="B133" s="5" t="s">
        <v>328</v>
      </c>
      <c r="C133" s="283" t="s">
        <v>213</v>
      </c>
      <c r="D133" s="5" t="s">
        <v>214</v>
      </c>
      <c r="E133" s="130" t="s">
        <v>175</v>
      </c>
      <c r="F133" s="119">
        <v>711204</v>
      </c>
      <c r="G133" s="119" t="s">
        <v>106</v>
      </c>
      <c r="H133" s="119" t="s">
        <v>1405</v>
      </c>
      <c r="I133" s="131">
        <v>1</v>
      </c>
      <c r="J133" s="141" t="s">
        <v>219</v>
      </c>
      <c r="K133" s="121" t="s">
        <v>852</v>
      </c>
      <c r="L133" s="23"/>
      <c r="M133" s="7"/>
      <c r="N133" s="7"/>
      <c r="O133" s="7"/>
      <c r="P133" s="7"/>
      <c r="Q133" s="7"/>
    </row>
    <row r="134" spans="2:17" customFormat="1" ht="15" customHeight="1">
      <c r="B134" s="5" t="s">
        <v>329</v>
      </c>
      <c r="C134" s="283" t="s">
        <v>213</v>
      </c>
      <c r="D134" s="5" t="s">
        <v>214</v>
      </c>
      <c r="E134" s="130" t="s">
        <v>206</v>
      </c>
      <c r="F134" s="119">
        <v>722204</v>
      </c>
      <c r="G134" s="119" t="s">
        <v>185</v>
      </c>
      <c r="H134" s="119" t="s">
        <v>1407</v>
      </c>
      <c r="I134" s="131">
        <v>2</v>
      </c>
      <c r="J134" s="198" t="s">
        <v>219</v>
      </c>
      <c r="K134" s="121" t="s">
        <v>852</v>
      </c>
      <c r="L134" s="23"/>
      <c r="M134" s="7"/>
      <c r="N134" s="7"/>
      <c r="O134" s="7"/>
      <c r="P134" s="7"/>
      <c r="Q134" s="7"/>
    </row>
    <row r="135" spans="2:17" customFormat="1" ht="15" customHeight="1">
      <c r="B135" s="5" t="s">
        <v>330</v>
      </c>
      <c r="C135" s="283" t="s">
        <v>213</v>
      </c>
      <c r="D135" s="5" t="s">
        <v>214</v>
      </c>
      <c r="E135" s="130" t="s">
        <v>38</v>
      </c>
      <c r="F135" s="119">
        <v>741103</v>
      </c>
      <c r="G135" s="119" t="s">
        <v>54</v>
      </c>
      <c r="H135" s="119" t="s">
        <v>2331</v>
      </c>
      <c r="I135" s="131">
        <v>8</v>
      </c>
      <c r="J135" s="141" t="s">
        <v>117</v>
      </c>
      <c r="K135" s="122" t="s">
        <v>943</v>
      </c>
      <c r="L135" s="23"/>
      <c r="M135" s="7"/>
      <c r="N135" s="7"/>
      <c r="O135" s="7"/>
      <c r="P135" s="7"/>
      <c r="Q135" s="7"/>
    </row>
    <row r="136" spans="2:17" customFormat="1" ht="15" customHeight="1">
      <c r="B136" s="5" t="s">
        <v>331</v>
      </c>
      <c r="C136" s="283" t="s">
        <v>213</v>
      </c>
      <c r="D136" s="5" t="s">
        <v>214</v>
      </c>
      <c r="E136" s="221" t="s">
        <v>198</v>
      </c>
      <c r="F136" s="119">
        <v>712618</v>
      </c>
      <c r="G136" s="119" t="s">
        <v>86</v>
      </c>
      <c r="H136" s="119" t="s">
        <v>1434</v>
      </c>
      <c r="I136" s="131">
        <v>2</v>
      </c>
      <c r="J136" s="141" t="s">
        <v>117</v>
      </c>
      <c r="K136" s="122" t="s">
        <v>943</v>
      </c>
      <c r="L136" s="23"/>
      <c r="M136" s="7"/>
      <c r="N136" s="7"/>
      <c r="O136" s="7"/>
      <c r="P136" s="7"/>
      <c r="Q136" s="7"/>
    </row>
    <row r="137" spans="2:17" customFormat="1" ht="15" customHeight="1">
      <c r="B137" s="5" t="s">
        <v>332</v>
      </c>
      <c r="C137" s="283" t="s">
        <v>213</v>
      </c>
      <c r="D137" s="5" t="s">
        <v>214</v>
      </c>
      <c r="E137" s="130" t="s">
        <v>37</v>
      </c>
      <c r="F137" s="119">
        <v>751201</v>
      </c>
      <c r="G137" s="119" t="s">
        <v>183</v>
      </c>
      <c r="H137" s="119" t="s">
        <v>2362</v>
      </c>
      <c r="I137" s="131">
        <v>3</v>
      </c>
      <c r="J137" s="141" t="s">
        <v>117</v>
      </c>
      <c r="K137" s="122" t="s">
        <v>943</v>
      </c>
      <c r="L137" s="23"/>
      <c r="M137" s="7"/>
      <c r="N137" s="7"/>
      <c r="O137" s="7"/>
      <c r="P137" s="7"/>
      <c r="Q137" s="7"/>
    </row>
    <row r="138" spans="2:17" customFormat="1" ht="15" customHeight="1">
      <c r="B138" s="5" t="s">
        <v>333</v>
      </c>
      <c r="C138" s="283" t="s">
        <v>213</v>
      </c>
      <c r="D138" s="5" t="s">
        <v>214</v>
      </c>
      <c r="E138" s="130" t="s">
        <v>33</v>
      </c>
      <c r="F138" s="119">
        <v>752205</v>
      </c>
      <c r="G138" s="119" t="s">
        <v>69</v>
      </c>
      <c r="H138" s="119" t="s">
        <v>2414</v>
      </c>
      <c r="I138" s="131">
        <v>7</v>
      </c>
      <c r="J138" s="141" t="s">
        <v>117</v>
      </c>
      <c r="K138" s="122" t="s">
        <v>943</v>
      </c>
      <c r="L138" s="23"/>
      <c r="M138" s="7"/>
      <c r="N138" s="7"/>
      <c r="O138" s="7"/>
      <c r="P138" s="7"/>
      <c r="Q138" s="7"/>
    </row>
    <row r="139" spans="2:17" customFormat="1" ht="15" customHeight="1">
      <c r="B139" s="5" t="s">
        <v>334</v>
      </c>
      <c r="C139" s="283" t="s">
        <v>213</v>
      </c>
      <c r="D139" s="5" t="s">
        <v>214</v>
      </c>
      <c r="E139" s="207" t="s">
        <v>44</v>
      </c>
      <c r="F139" s="119">
        <v>512001</v>
      </c>
      <c r="G139" s="6" t="s">
        <v>81</v>
      </c>
      <c r="H139" s="119" t="s">
        <v>2248</v>
      </c>
      <c r="I139" s="131">
        <v>2</v>
      </c>
      <c r="J139" s="141" t="s">
        <v>117</v>
      </c>
      <c r="K139" s="122" t="s">
        <v>943</v>
      </c>
      <c r="L139" s="23"/>
      <c r="M139" s="7"/>
      <c r="N139" s="7"/>
      <c r="O139" s="7"/>
      <c r="P139" s="7"/>
      <c r="Q139" s="7"/>
    </row>
    <row r="140" spans="2:17" customFormat="1" ht="15" customHeight="1">
      <c r="B140" s="5" t="s">
        <v>335</v>
      </c>
      <c r="C140" s="283" t="s">
        <v>213</v>
      </c>
      <c r="D140" s="5" t="s">
        <v>214</v>
      </c>
      <c r="E140" s="283" t="s">
        <v>36</v>
      </c>
      <c r="F140" s="119">
        <v>514101</v>
      </c>
      <c r="G140" s="119" t="s">
        <v>77</v>
      </c>
      <c r="H140" s="119" t="s">
        <v>1434</v>
      </c>
      <c r="I140" s="131">
        <v>22</v>
      </c>
      <c r="J140" s="141" t="s">
        <v>117</v>
      </c>
      <c r="K140" s="122" t="s">
        <v>943</v>
      </c>
      <c r="L140" s="23"/>
      <c r="M140" s="7"/>
      <c r="N140" s="7"/>
      <c r="O140" s="7"/>
      <c r="P140" s="7"/>
      <c r="Q140" s="7"/>
    </row>
    <row r="141" spans="2:17" customFormat="1" ht="15" customHeight="1">
      <c r="B141" s="5" t="s">
        <v>336</v>
      </c>
      <c r="C141" s="283" t="s">
        <v>213</v>
      </c>
      <c r="D141" s="5" t="s">
        <v>214</v>
      </c>
      <c r="E141" s="130" t="s">
        <v>58</v>
      </c>
      <c r="F141" s="119">
        <v>753402</v>
      </c>
      <c r="G141" s="119" t="s">
        <v>70</v>
      </c>
      <c r="H141" s="119" t="s">
        <v>2356</v>
      </c>
      <c r="I141" s="131">
        <v>25</v>
      </c>
      <c r="J141" s="141" t="s">
        <v>117</v>
      </c>
      <c r="K141" s="122" t="s">
        <v>943</v>
      </c>
      <c r="L141" s="23"/>
      <c r="M141" s="7"/>
      <c r="N141" s="7"/>
      <c r="O141" s="7"/>
      <c r="P141" s="7"/>
      <c r="Q141" s="7"/>
    </row>
    <row r="142" spans="2:17" customFormat="1" ht="15" customHeight="1">
      <c r="B142" s="5" t="s">
        <v>337</v>
      </c>
      <c r="C142" s="283" t="s">
        <v>213</v>
      </c>
      <c r="D142" s="5" t="s">
        <v>214</v>
      </c>
      <c r="E142" s="130" t="s">
        <v>53</v>
      </c>
      <c r="F142" s="119">
        <v>741203</v>
      </c>
      <c r="G142" s="119" t="s">
        <v>64</v>
      </c>
      <c r="H142" s="119" t="s">
        <v>1420</v>
      </c>
      <c r="I142" s="131">
        <v>1</v>
      </c>
      <c r="J142" s="141" t="s">
        <v>219</v>
      </c>
      <c r="K142" s="121" t="s">
        <v>852</v>
      </c>
      <c r="L142" s="23"/>
      <c r="M142" s="7"/>
      <c r="N142" s="7"/>
      <c r="O142" s="7"/>
      <c r="P142" s="7"/>
      <c r="Q142" s="7"/>
    </row>
    <row r="143" spans="2:17" customFormat="1" ht="15" customHeight="1">
      <c r="B143" s="5" t="s">
        <v>338</v>
      </c>
      <c r="C143" s="283" t="s">
        <v>213</v>
      </c>
      <c r="D143" s="291" t="s">
        <v>214</v>
      </c>
      <c r="E143" s="130" t="s">
        <v>216</v>
      </c>
      <c r="F143" s="119">
        <v>742117</v>
      </c>
      <c r="G143" s="119" t="s">
        <v>221</v>
      </c>
      <c r="H143" s="119" t="s">
        <v>1323</v>
      </c>
      <c r="I143" s="131">
        <v>1</v>
      </c>
      <c r="J143" s="141" t="s">
        <v>547</v>
      </c>
      <c r="K143" s="121" t="s">
        <v>41</v>
      </c>
      <c r="L143" s="27"/>
      <c r="M143" s="7"/>
      <c r="N143" s="7"/>
      <c r="O143" s="7"/>
      <c r="P143" s="7"/>
      <c r="Q143" s="7"/>
    </row>
    <row r="144" spans="2:17" customFormat="1" ht="15" customHeight="1">
      <c r="B144" s="5" t="s">
        <v>339</v>
      </c>
      <c r="C144" s="283" t="s">
        <v>213</v>
      </c>
      <c r="D144" s="291" t="s">
        <v>214</v>
      </c>
      <c r="E144" s="130" t="s">
        <v>222</v>
      </c>
      <c r="F144" s="119">
        <v>731305</v>
      </c>
      <c r="G144" s="119" t="s">
        <v>223</v>
      </c>
      <c r="H144" s="119" t="s">
        <v>1322</v>
      </c>
      <c r="I144" s="131">
        <v>1</v>
      </c>
      <c r="J144" s="141" t="s">
        <v>547</v>
      </c>
      <c r="K144" s="121" t="s">
        <v>41</v>
      </c>
      <c r="L144" s="27"/>
      <c r="M144" s="7"/>
      <c r="N144" s="7"/>
      <c r="O144" s="7"/>
      <c r="P144" s="7"/>
      <c r="Q144" s="7"/>
    </row>
    <row r="145" spans="2:17" customFormat="1" ht="15" customHeight="1">
      <c r="B145" s="5" t="s">
        <v>340</v>
      </c>
      <c r="C145" s="283" t="s">
        <v>213</v>
      </c>
      <c r="D145" s="5" t="s">
        <v>214</v>
      </c>
      <c r="E145" s="283" t="s">
        <v>45</v>
      </c>
      <c r="F145" s="119">
        <v>522301</v>
      </c>
      <c r="G145" s="119" t="s">
        <v>43</v>
      </c>
      <c r="H145" s="119" t="s">
        <v>1409</v>
      </c>
      <c r="I145" s="131">
        <v>27</v>
      </c>
      <c r="J145" s="141" t="s">
        <v>117</v>
      </c>
      <c r="K145" s="122" t="s">
        <v>943</v>
      </c>
      <c r="L145" s="27"/>
      <c r="M145" s="7"/>
      <c r="N145" s="7"/>
      <c r="O145" s="7"/>
      <c r="P145" s="7"/>
      <c r="Q145" s="7"/>
    </row>
    <row r="146" spans="2:17" customFormat="1" ht="15" customHeight="1">
      <c r="B146" s="5" t="s">
        <v>341</v>
      </c>
      <c r="C146" s="283" t="s">
        <v>213</v>
      </c>
      <c r="D146" s="5" t="s">
        <v>214</v>
      </c>
      <c r="E146" s="283" t="s">
        <v>34</v>
      </c>
      <c r="F146" s="119">
        <v>723103</v>
      </c>
      <c r="G146" s="119" t="s">
        <v>75</v>
      </c>
      <c r="H146" s="119" t="s">
        <v>1434</v>
      </c>
      <c r="I146" s="131">
        <v>13</v>
      </c>
      <c r="J146" s="141" t="s">
        <v>117</v>
      </c>
      <c r="K146" s="122" t="s">
        <v>943</v>
      </c>
      <c r="L146" s="27"/>
      <c r="M146" s="7"/>
      <c r="N146" s="7"/>
      <c r="O146" s="7"/>
      <c r="P146" s="7"/>
      <c r="Q146" s="7"/>
    </row>
    <row r="147" spans="2:17" customFormat="1">
      <c r="B147" s="5" t="s">
        <v>342</v>
      </c>
      <c r="C147" s="283" t="s">
        <v>224</v>
      </c>
      <c r="D147" s="5" t="s">
        <v>225</v>
      </c>
      <c r="E147" s="283" t="s">
        <v>34</v>
      </c>
      <c r="F147" s="119">
        <v>723103</v>
      </c>
      <c r="G147" s="119" t="s">
        <v>75</v>
      </c>
      <c r="H147" s="133" t="s">
        <v>1414</v>
      </c>
      <c r="I147" s="131">
        <v>13</v>
      </c>
      <c r="J147" s="141" t="s">
        <v>228</v>
      </c>
      <c r="K147" s="122" t="s">
        <v>104</v>
      </c>
      <c r="L147" s="20"/>
      <c r="M147" s="14"/>
      <c r="N147" s="7"/>
      <c r="O147" s="7"/>
      <c r="P147" s="7"/>
      <c r="Q147" s="7"/>
    </row>
    <row r="148" spans="2:17" customFormat="1" ht="15" customHeight="1">
      <c r="B148" s="5" t="s">
        <v>343</v>
      </c>
      <c r="C148" s="283" t="s">
        <v>224</v>
      </c>
      <c r="D148" s="5" t="s">
        <v>225</v>
      </c>
      <c r="E148" s="130" t="s">
        <v>193</v>
      </c>
      <c r="F148" s="119">
        <v>962907</v>
      </c>
      <c r="G148" s="119" t="s">
        <v>194</v>
      </c>
      <c r="H148" s="133" t="s">
        <v>1411</v>
      </c>
      <c r="I148" s="131">
        <v>3</v>
      </c>
      <c r="J148" s="141" t="s">
        <v>1174</v>
      </c>
      <c r="K148" s="122" t="s">
        <v>849</v>
      </c>
      <c r="L148" s="20"/>
      <c r="M148" s="7"/>
      <c r="N148" s="18"/>
      <c r="O148" s="7"/>
      <c r="P148" s="7"/>
      <c r="Q148" s="7"/>
    </row>
    <row r="149" spans="2:17" ht="30">
      <c r="B149" s="5" t="s">
        <v>344</v>
      </c>
      <c r="C149" s="283" t="s">
        <v>224</v>
      </c>
      <c r="D149" s="119" t="s">
        <v>225</v>
      </c>
      <c r="E149" s="283" t="s">
        <v>36</v>
      </c>
      <c r="F149" s="119">
        <v>514101</v>
      </c>
      <c r="G149" s="119" t="s">
        <v>77</v>
      </c>
      <c r="H149" s="133" t="s">
        <v>2266</v>
      </c>
      <c r="I149" s="131">
        <v>6</v>
      </c>
      <c r="J149" s="280" t="s">
        <v>228</v>
      </c>
      <c r="K149" s="207" t="s">
        <v>104</v>
      </c>
      <c r="L149" s="20"/>
      <c r="M149" s="287"/>
      <c r="N149" s="10"/>
      <c r="O149" s="10"/>
      <c r="P149" s="10"/>
      <c r="Q149" s="10"/>
    </row>
    <row r="150" spans="2:17" customFormat="1" ht="15" customHeight="1">
      <c r="B150" s="5" t="s">
        <v>345</v>
      </c>
      <c r="C150" s="283" t="s">
        <v>224</v>
      </c>
      <c r="D150" s="291" t="s">
        <v>225</v>
      </c>
      <c r="E150" s="130" t="s">
        <v>56</v>
      </c>
      <c r="F150" s="119">
        <v>712905</v>
      </c>
      <c r="G150" s="119" t="s">
        <v>67</v>
      </c>
      <c r="H150" s="119" t="s">
        <v>1320</v>
      </c>
      <c r="I150" s="131">
        <v>2</v>
      </c>
      <c r="J150" s="141" t="s">
        <v>547</v>
      </c>
      <c r="K150" s="121" t="s">
        <v>41</v>
      </c>
      <c r="L150" s="23"/>
      <c r="M150" s="7"/>
      <c r="N150" s="7"/>
      <c r="O150" s="7"/>
      <c r="P150" s="7"/>
      <c r="Q150" s="7"/>
    </row>
    <row r="151" spans="2:17" customFormat="1">
      <c r="B151" s="5" t="s">
        <v>346</v>
      </c>
      <c r="C151" s="283" t="s">
        <v>224</v>
      </c>
      <c r="D151" s="5" t="s">
        <v>225</v>
      </c>
      <c r="E151" s="130" t="s">
        <v>103</v>
      </c>
      <c r="F151" s="119">
        <v>722307</v>
      </c>
      <c r="G151" s="119" t="s">
        <v>83</v>
      </c>
      <c r="H151" s="119" t="s">
        <v>1407</v>
      </c>
      <c r="I151" s="131">
        <v>3</v>
      </c>
      <c r="J151" s="141" t="s">
        <v>228</v>
      </c>
      <c r="K151" s="122" t="s">
        <v>104</v>
      </c>
      <c r="L151" s="23"/>
      <c r="M151" s="14"/>
      <c r="N151" s="7"/>
      <c r="O151" s="7"/>
      <c r="P151" s="7"/>
      <c r="Q151" s="7"/>
    </row>
    <row r="152" spans="2:17" customFormat="1" ht="30">
      <c r="B152" s="5" t="s">
        <v>347</v>
      </c>
      <c r="C152" s="283" t="s">
        <v>224</v>
      </c>
      <c r="D152" s="5" t="s">
        <v>225</v>
      </c>
      <c r="E152" s="207" t="s">
        <v>44</v>
      </c>
      <c r="F152" s="119">
        <v>514101</v>
      </c>
      <c r="G152" s="6" t="s">
        <v>81</v>
      </c>
      <c r="H152" s="6" t="s">
        <v>2267</v>
      </c>
      <c r="I152" s="131">
        <v>5</v>
      </c>
      <c r="J152" s="141" t="s">
        <v>228</v>
      </c>
      <c r="K152" s="122" t="s">
        <v>104</v>
      </c>
      <c r="L152" s="23"/>
      <c r="M152" s="14"/>
      <c r="N152" s="7"/>
      <c r="O152" s="7"/>
      <c r="P152" s="7"/>
      <c r="Q152" s="7"/>
    </row>
    <row r="153" spans="2:17" customFormat="1" ht="15" customHeight="1">
      <c r="B153" s="5" t="s">
        <v>348</v>
      </c>
      <c r="C153" s="283" t="s">
        <v>224</v>
      </c>
      <c r="D153" s="5" t="s">
        <v>225</v>
      </c>
      <c r="E153" s="130" t="s">
        <v>175</v>
      </c>
      <c r="F153" s="119">
        <v>514101</v>
      </c>
      <c r="G153" s="119" t="s">
        <v>106</v>
      </c>
      <c r="H153" s="119" t="s">
        <v>1345</v>
      </c>
      <c r="I153" s="145">
        <v>2</v>
      </c>
      <c r="J153" s="141" t="s">
        <v>59</v>
      </c>
      <c r="K153" s="122" t="s">
        <v>105</v>
      </c>
      <c r="L153" s="21"/>
      <c r="M153" s="7"/>
      <c r="N153" s="7"/>
      <c r="O153" s="7"/>
      <c r="P153" s="7"/>
      <c r="Q153" s="7"/>
    </row>
    <row r="154" spans="2:17" ht="30">
      <c r="B154" s="5" t="s">
        <v>349</v>
      </c>
      <c r="C154" s="283" t="s">
        <v>224</v>
      </c>
      <c r="D154" s="119" t="s">
        <v>225</v>
      </c>
      <c r="E154" s="283" t="s">
        <v>45</v>
      </c>
      <c r="F154" s="119">
        <v>522301</v>
      </c>
      <c r="G154" s="119" t="s">
        <v>43</v>
      </c>
      <c r="H154" s="6" t="s">
        <v>2268</v>
      </c>
      <c r="I154" s="131">
        <v>8</v>
      </c>
      <c r="J154" s="280" t="s">
        <v>228</v>
      </c>
      <c r="K154" s="207" t="s">
        <v>104</v>
      </c>
      <c r="L154" s="22"/>
      <c r="M154" s="287"/>
      <c r="N154" s="10"/>
      <c r="O154" s="10"/>
      <c r="P154" s="10"/>
      <c r="Q154" s="10"/>
    </row>
    <row r="155" spans="2:17" customFormat="1" ht="15" customHeight="1">
      <c r="B155" s="5" t="s">
        <v>350</v>
      </c>
      <c r="C155" s="283" t="s">
        <v>224</v>
      </c>
      <c r="D155" s="5" t="s">
        <v>225</v>
      </c>
      <c r="E155" s="130" t="s">
        <v>226</v>
      </c>
      <c r="F155" s="119">
        <v>513101</v>
      </c>
      <c r="G155" s="119" t="s">
        <v>227</v>
      </c>
      <c r="H155" s="119"/>
      <c r="I155" s="131">
        <v>2</v>
      </c>
      <c r="J155" s="141" t="s">
        <v>590</v>
      </c>
      <c r="K155" s="121" t="s">
        <v>850</v>
      </c>
      <c r="L155" s="22"/>
      <c r="M155" s="7"/>
      <c r="N155" s="7"/>
      <c r="O155" s="7"/>
      <c r="P155" s="7"/>
      <c r="Q155" s="7"/>
    </row>
    <row r="156" spans="2:17" customFormat="1" ht="15" customHeight="1">
      <c r="B156" s="5" t="s">
        <v>351</v>
      </c>
      <c r="C156" s="283" t="s">
        <v>224</v>
      </c>
      <c r="D156" s="5" t="s">
        <v>225</v>
      </c>
      <c r="E156" s="130" t="s">
        <v>38</v>
      </c>
      <c r="F156" s="119">
        <v>741103</v>
      </c>
      <c r="G156" s="119" t="s">
        <v>54</v>
      </c>
      <c r="H156" s="119" t="s">
        <v>1350</v>
      </c>
      <c r="I156" s="145">
        <v>1</v>
      </c>
      <c r="J156" s="141" t="s">
        <v>59</v>
      </c>
      <c r="K156" s="122" t="s">
        <v>105</v>
      </c>
      <c r="L156" s="21"/>
      <c r="M156" s="7"/>
      <c r="N156" s="7"/>
      <c r="O156" s="7"/>
      <c r="P156" s="7"/>
      <c r="Q156" s="7"/>
    </row>
    <row r="157" spans="2:17" customFormat="1" ht="15" customHeight="1">
      <c r="B157" s="5" t="s">
        <v>352</v>
      </c>
      <c r="C157" s="283" t="s">
        <v>224</v>
      </c>
      <c r="D157" s="5" t="s">
        <v>225</v>
      </c>
      <c r="E157" s="130" t="s">
        <v>37</v>
      </c>
      <c r="F157" s="119">
        <v>751201</v>
      </c>
      <c r="G157" s="119" t="s">
        <v>183</v>
      </c>
      <c r="H157" s="119" t="s">
        <v>1349</v>
      </c>
      <c r="I157" s="145">
        <v>1</v>
      </c>
      <c r="J157" s="141" t="s">
        <v>59</v>
      </c>
      <c r="K157" s="122" t="s">
        <v>105</v>
      </c>
      <c r="L157" s="21"/>
      <c r="M157" s="7"/>
      <c r="N157" s="7"/>
      <c r="O157" s="7"/>
      <c r="P157" s="7"/>
      <c r="Q157" s="7"/>
    </row>
    <row r="158" spans="2:17" customFormat="1" ht="15" customHeight="1">
      <c r="B158" s="5" t="s">
        <v>353</v>
      </c>
      <c r="C158" s="283" t="s">
        <v>224</v>
      </c>
      <c r="D158" s="5" t="s">
        <v>225</v>
      </c>
      <c r="E158" s="130" t="s">
        <v>57</v>
      </c>
      <c r="F158" s="119">
        <v>751204</v>
      </c>
      <c r="G158" s="119" t="s">
        <v>68</v>
      </c>
      <c r="H158" s="119" t="s">
        <v>1348</v>
      </c>
      <c r="I158" s="145">
        <v>1</v>
      </c>
      <c r="J158" s="141" t="s">
        <v>59</v>
      </c>
      <c r="K158" s="122" t="s">
        <v>105</v>
      </c>
      <c r="L158" s="21"/>
      <c r="M158" s="7"/>
      <c r="N158" s="7"/>
      <c r="O158" s="7"/>
      <c r="P158" s="7"/>
      <c r="Q158" s="7"/>
    </row>
    <row r="159" spans="2:17" customFormat="1" ht="15" customHeight="1">
      <c r="B159" s="5" t="s">
        <v>354</v>
      </c>
      <c r="C159" s="283" t="s">
        <v>224</v>
      </c>
      <c r="D159" s="5" t="s">
        <v>225</v>
      </c>
      <c r="E159" s="221" t="s">
        <v>198</v>
      </c>
      <c r="F159" s="119">
        <v>712618</v>
      </c>
      <c r="G159" s="119" t="s">
        <v>86</v>
      </c>
      <c r="H159" s="119" t="s">
        <v>1349</v>
      </c>
      <c r="I159" s="145">
        <v>1</v>
      </c>
      <c r="J159" s="141" t="s">
        <v>59</v>
      </c>
      <c r="K159" s="122" t="s">
        <v>105</v>
      </c>
      <c r="L159" s="21"/>
      <c r="M159" s="7"/>
      <c r="N159" s="7"/>
      <c r="O159" s="7"/>
      <c r="P159" s="7"/>
      <c r="Q159" s="7"/>
    </row>
    <row r="160" spans="2:17" customFormat="1" ht="15" customHeight="1">
      <c r="B160" s="5" t="s">
        <v>355</v>
      </c>
      <c r="C160" s="283" t="s">
        <v>230</v>
      </c>
      <c r="D160" s="5" t="s">
        <v>231</v>
      </c>
      <c r="E160" s="130" t="s">
        <v>38</v>
      </c>
      <c r="F160" s="119">
        <v>741103</v>
      </c>
      <c r="G160" s="119" t="s">
        <v>54</v>
      </c>
      <c r="H160" s="119" t="s">
        <v>1350</v>
      </c>
      <c r="I160" s="145">
        <v>3</v>
      </c>
      <c r="J160" s="141" t="s">
        <v>59</v>
      </c>
      <c r="K160" s="122" t="s">
        <v>105</v>
      </c>
      <c r="L160" s="30"/>
      <c r="M160" s="7"/>
      <c r="N160" s="7"/>
      <c r="O160" s="7"/>
      <c r="P160" s="7"/>
      <c r="Q160" s="7"/>
    </row>
    <row r="161" spans="2:17" ht="30" customHeight="1">
      <c r="B161" s="5" t="s">
        <v>356</v>
      </c>
      <c r="C161" s="283" t="s">
        <v>230</v>
      </c>
      <c r="D161" s="119" t="s">
        <v>231</v>
      </c>
      <c r="E161" s="207" t="s">
        <v>44</v>
      </c>
      <c r="F161" s="119">
        <v>512001</v>
      </c>
      <c r="G161" s="6" t="s">
        <v>81</v>
      </c>
      <c r="H161" s="132" t="s">
        <v>1417</v>
      </c>
      <c r="I161" s="131">
        <v>3</v>
      </c>
      <c r="J161" s="280" t="s">
        <v>116</v>
      </c>
      <c r="K161" s="207" t="s">
        <v>942</v>
      </c>
      <c r="L161" s="27"/>
      <c r="M161" s="10"/>
      <c r="N161" s="10"/>
      <c r="O161" s="10"/>
      <c r="P161" s="10"/>
      <c r="Q161" s="281"/>
    </row>
    <row r="162" spans="2:17" customFormat="1" ht="15" customHeight="1">
      <c r="B162" s="5" t="s">
        <v>357</v>
      </c>
      <c r="C162" s="283" t="s">
        <v>230</v>
      </c>
      <c r="D162" s="5" t="s">
        <v>231</v>
      </c>
      <c r="E162" s="283" t="s">
        <v>34</v>
      </c>
      <c r="F162" s="119">
        <v>723103</v>
      </c>
      <c r="G162" s="119" t="s">
        <v>75</v>
      </c>
      <c r="H162" s="119" t="s">
        <v>1341</v>
      </c>
      <c r="I162" s="131">
        <v>7</v>
      </c>
      <c r="J162" s="161" t="s">
        <v>566</v>
      </c>
      <c r="K162" s="122" t="s">
        <v>579</v>
      </c>
      <c r="L162" s="27"/>
      <c r="M162" s="7"/>
      <c r="N162" s="7"/>
      <c r="O162" s="7"/>
      <c r="P162" s="65"/>
      <c r="Q162" s="7"/>
    </row>
    <row r="163" spans="2:17" customFormat="1" ht="15" customHeight="1">
      <c r="B163" s="5" t="s">
        <v>358</v>
      </c>
      <c r="C163" s="283" t="s">
        <v>230</v>
      </c>
      <c r="D163" s="5" t="s">
        <v>231</v>
      </c>
      <c r="E163" s="130" t="s">
        <v>103</v>
      </c>
      <c r="F163" s="119">
        <v>722307</v>
      </c>
      <c r="G163" s="119" t="s">
        <v>83</v>
      </c>
      <c r="H163" s="119" t="s">
        <v>1347</v>
      </c>
      <c r="I163" s="145">
        <v>1</v>
      </c>
      <c r="J163" s="141" t="s">
        <v>59</v>
      </c>
      <c r="K163" s="221" t="s">
        <v>105</v>
      </c>
      <c r="L163" s="27"/>
      <c r="M163" s="7"/>
      <c r="N163" s="7"/>
      <c r="O163" s="7"/>
      <c r="P163" s="7"/>
      <c r="Q163" s="7"/>
    </row>
    <row r="164" spans="2:17" ht="60" customHeight="1">
      <c r="B164" s="5" t="s">
        <v>359</v>
      </c>
      <c r="C164" s="283" t="s">
        <v>230</v>
      </c>
      <c r="D164" s="119" t="s">
        <v>231</v>
      </c>
      <c r="E164" s="283" t="s">
        <v>45</v>
      </c>
      <c r="F164" s="119">
        <v>522301</v>
      </c>
      <c r="G164" s="119" t="s">
        <v>43</v>
      </c>
      <c r="H164" s="204" t="s">
        <v>1425</v>
      </c>
      <c r="I164" s="131">
        <v>13</v>
      </c>
      <c r="J164" s="280" t="s">
        <v>116</v>
      </c>
      <c r="K164" s="207" t="s">
        <v>942</v>
      </c>
      <c r="L164" s="27"/>
      <c r="M164" s="10"/>
      <c r="N164" s="10"/>
      <c r="O164" s="10"/>
      <c r="P164" s="10"/>
      <c r="Q164" s="281"/>
    </row>
    <row r="165" spans="2:17" customFormat="1" ht="15" customHeight="1">
      <c r="B165" s="5" t="s">
        <v>360</v>
      </c>
      <c r="C165" s="283" t="s">
        <v>230</v>
      </c>
      <c r="D165" s="5" t="s">
        <v>231</v>
      </c>
      <c r="E165" s="130" t="s">
        <v>33</v>
      </c>
      <c r="F165" s="119">
        <v>752205</v>
      </c>
      <c r="G165" s="119" t="s">
        <v>69</v>
      </c>
      <c r="H165" s="119" t="s">
        <v>1343</v>
      </c>
      <c r="I165" s="376">
        <v>0</v>
      </c>
      <c r="J165" s="141" t="s">
        <v>59</v>
      </c>
      <c r="K165" s="370" t="s">
        <v>105</v>
      </c>
      <c r="L165" s="30"/>
      <c r="M165" s="7"/>
      <c r="N165" s="7"/>
      <c r="O165" s="7"/>
      <c r="P165" s="7"/>
      <c r="Q165" s="7"/>
    </row>
    <row r="166" spans="2:17" customFormat="1" ht="15" customHeight="1">
      <c r="B166" s="5" t="s">
        <v>361</v>
      </c>
      <c r="C166" s="283" t="s">
        <v>230</v>
      </c>
      <c r="D166" s="5" t="s">
        <v>231</v>
      </c>
      <c r="E166" s="130" t="s">
        <v>206</v>
      </c>
      <c r="F166" s="119">
        <v>722204</v>
      </c>
      <c r="G166" s="119" t="s">
        <v>185</v>
      </c>
      <c r="H166" s="119" t="s">
        <v>2394</v>
      </c>
      <c r="I166" s="145">
        <v>1</v>
      </c>
      <c r="J166" s="141" t="s">
        <v>59</v>
      </c>
      <c r="K166" s="122" t="s">
        <v>105</v>
      </c>
      <c r="L166" s="30"/>
      <c r="M166" s="7"/>
      <c r="N166" s="7"/>
      <c r="O166" s="7"/>
      <c r="P166" s="7"/>
      <c r="Q166" s="7"/>
    </row>
    <row r="167" spans="2:17" ht="15" customHeight="1">
      <c r="B167" s="5" t="s">
        <v>362</v>
      </c>
      <c r="C167" s="283" t="s">
        <v>230</v>
      </c>
      <c r="D167" s="119" t="s">
        <v>231</v>
      </c>
      <c r="E167" s="283" t="s">
        <v>36</v>
      </c>
      <c r="F167" s="119">
        <v>514101</v>
      </c>
      <c r="G167" s="119" t="s">
        <v>77</v>
      </c>
      <c r="H167" s="143" t="s">
        <v>1340</v>
      </c>
      <c r="I167" s="131">
        <v>5</v>
      </c>
      <c r="J167" s="280" t="s">
        <v>116</v>
      </c>
      <c r="K167" s="207" t="s">
        <v>942</v>
      </c>
      <c r="L167" s="27"/>
      <c r="M167" s="10"/>
      <c r="N167" s="10"/>
      <c r="O167" s="10"/>
      <c r="P167" s="10"/>
      <c r="Q167" s="281"/>
    </row>
    <row r="168" spans="2:17" ht="30">
      <c r="B168" s="5" t="s">
        <v>363</v>
      </c>
      <c r="C168" s="283" t="s">
        <v>234</v>
      </c>
      <c r="D168" s="119" t="s">
        <v>235</v>
      </c>
      <c r="E168" s="283" t="s">
        <v>45</v>
      </c>
      <c r="F168" s="289">
        <v>522301</v>
      </c>
      <c r="G168" s="119" t="s">
        <v>43</v>
      </c>
      <c r="H168" s="306" t="s">
        <v>2375</v>
      </c>
      <c r="I168" s="396">
        <v>9</v>
      </c>
      <c r="J168" s="280" t="s">
        <v>109</v>
      </c>
      <c r="K168" s="207" t="s">
        <v>237</v>
      </c>
      <c r="L168" s="31"/>
      <c r="M168" s="7"/>
      <c r="N168" s="7"/>
      <c r="O168" s="7"/>
      <c r="P168" s="7"/>
      <c r="Q168" s="7"/>
    </row>
    <row r="169" spans="2:17" customFormat="1" ht="15.75" customHeight="1">
      <c r="B169" s="5" t="s">
        <v>364</v>
      </c>
      <c r="C169" s="283" t="s">
        <v>234</v>
      </c>
      <c r="D169" s="5" t="s">
        <v>235</v>
      </c>
      <c r="E169" s="163" t="s">
        <v>236</v>
      </c>
      <c r="F169" s="5">
        <v>711402</v>
      </c>
      <c r="G169" s="5" t="s">
        <v>854</v>
      </c>
      <c r="H169" s="119" t="s">
        <v>1344</v>
      </c>
      <c r="I169" s="383">
        <v>1</v>
      </c>
      <c r="J169" s="141" t="s">
        <v>59</v>
      </c>
      <c r="K169" s="122" t="s">
        <v>105</v>
      </c>
      <c r="L169" s="24"/>
      <c r="M169" s="7"/>
      <c r="N169" s="7"/>
      <c r="O169" s="7"/>
      <c r="P169" s="7"/>
      <c r="Q169" s="7"/>
    </row>
    <row r="170" spans="2:17" customFormat="1" ht="15.75" customHeight="1">
      <c r="B170" s="5" t="s">
        <v>365</v>
      </c>
      <c r="C170" s="283" t="s">
        <v>234</v>
      </c>
      <c r="D170" s="5" t="s">
        <v>235</v>
      </c>
      <c r="E170" s="130" t="s">
        <v>46</v>
      </c>
      <c r="F170" s="5">
        <v>741201</v>
      </c>
      <c r="G170" s="119" t="s">
        <v>182</v>
      </c>
      <c r="H170" s="119" t="s">
        <v>1344</v>
      </c>
      <c r="I170" s="164">
        <v>1</v>
      </c>
      <c r="J170" s="141" t="s">
        <v>61</v>
      </c>
      <c r="K170" s="121" t="s">
        <v>851</v>
      </c>
      <c r="L170" s="25"/>
      <c r="M170" s="7"/>
      <c r="N170" s="7"/>
      <c r="O170" s="7"/>
      <c r="P170" s="7"/>
      <c r="Q170" s="7"/>
    </row>
    <row r="171" spans="2:17" customFormat="1" ht="15.75" customHeight="1">
      <c r="B171" s="5" t="s">
        <v>366</v>
      </c>
      <c r="C171" s="283" t="s">
        <v>234</v>
      </c>
      <c r="D171" s="5" t="s">
        <v>235</v>
      </c>
      <c r="E171" s="130" t="s">
        <v>38</v>
      </c>
      <c r="F171" s="5">
        <v>741103</v>
      </c>
      <c r="G171" s="119" t="s">
        <v>54</v>
      </c>
      <c r="H171" s="119" t="s">
        <v>2394</v>
      </c>
      <c r="I171" s="383">
        <v>7</v>
      </c>
      <c r="J171" s="141" t="s">
        <v>59</v>
      </c>
      <c r="K171" s="122" t="s">
        <v>105</v>
      </c>
      <c r="L171" s="24"/>
      <c r="M171" s="7"/>
      <c r="N171" s="7"/>
      <c r="O171" s="7"/>
      <c r="P171" s="7"/>
      <c r="Q171" s="7"/>
    </row>
    <row r="172" spans="2:17" customFormat="1" ht="15.75">
      <c r="B172" s="5" t="s">
        <v>367</v>
      </c>
      <c r="C172" s="283" t="s">
        <v>234</v>
      </c>
      <c r="D172" s="5" t="s">
        <v>235</v>
      </c>
      <c r="E172" s="283" t="s">
        <v>36</v>
      </c>
      <c r="F172" s="5">
        <v>514101</v>
      </c>
      <c r="G172" s="5" t="s">
        <v>77</v>
      </c>
      <c r="H172" s="133" t="s">
        <v>1344</v>
      </c>
      <c r="I172" s="383">
        <v>14</v>
      </c>
      <c r="J172" s="141" t="s">
        <v>59</v>
      </c>
      <c r="K172" s="122" t="s">
        <v>105</v>
      </c>
      <c r="L172" s="24"/>
      <c r="M172" s="7"/>
      <c r="N172" s="7"/>
      <c r="O172" s="7"/>
      <c r="P172" s="7"/>
      <c r="Q172" s="7"/>
    </row>
    <row r="173" spans="2:17" customFormat="1" ht="15.75" customHeight="1">
      <c r="B173" s="5" t="s">
        <v>368</v>
      </c>
      <c r="C173" s="283" t="s">
        <v>234</v>
      </c>
      <c r="D173" s="5" t="s">
        <v>235</v>
      </c>
      <c r="E173" s="207" t="s">
        <v>44</v>
      </c>
      <c r="F173" s="5">
        <v>512001</v>
      </c>
      <c r="G173" s="6" t="s">
        <v>81</v>
      </c>
      <c r="H173" s="295" t="s">
        <v>1343</v>
      </c>
      <c r="I173" s="164">
        <v>10</v>
      </c>
      <c r="J173" s="141" t="s">
        <v>109</v>
      </c>
      <c r="K173" s="122" t="s">
        <v>237</v>
      </c>
      <c r="L173" s="25"/>
      <c r="M173" s="7"/>
      <c r="N173" s="7"/>
      <c r="O173" s="7"/>
      <c r="P173" s="7"/>
      <c r="Q173" s="7"/>
    </row>
    <row r="174" spans="2:17" customFormat="1" ht="15" customHeight="1">
      <c r="B174" s="5" t="s">
        <v>369</v>
      </c>
      <c r="C174" s="283" t="s">
        <v>234</v>
      </c>
      <c r="D174" s="5" t="s">
        <v>235</v>
      </c>
      <c r="E174" s="130" t="s">
        <v>57</v>
      </c>
      <c r="F174" s="5">
        <v>751204</v>
      </c>
      <c r="G174" s="119" t="s">
        <v>68</v>
      </c>
      <c r="H174" s="119" t="s">
        <v>1348</v>
      </c>
      <c r="I174" s="145">
        <v>1</v>
      </c>
      <c r="J174" s="141" t="s">
        <v>59</v>
      </c>
      <c r="K174" s="122" t="s">
        <v>105</v>
      </c>
      <c r="L174" s="24"/>
      <c r="M174" s="7"/>
      <c r="N174" s="7"/>
      <c r="O174" s="7"/>
      <c r="P174" s="7"/>
      <c r="Q174" s="7"/>
    </row>
    <row r="175" spans="2:17" customFormat="1" ht="15.75" customHeight="1">
      <c r="B175" s="5" t="s">
        <v>370</v>
      </c>
      <c r="C175" s="283" t="s">
        <v>234</v>
      </c>
      <c r="D175" s="5" t="s">
        <v>235</v>
      </c>
      <c r="E175" s="221" t="s">
        <v>198</v>
      </c>
      <c r="F175" s="5">
        <v>712618</v>
      </c>
      <c r="G175" s="119" t="s">
        <v>86</v>
      </c>
      <c r="H175" s="119" t="s">
        <v>1347</v>
      </c>
      <c r="I175" s="384">
        <v>9</v>
      </c>
      <c r="J175" s="141" t="s">
        <v>59</v>
      </c>
      <c r="K175" s="122" t="s">
        <v>105</v>
      </c>
      <c r="L175" s="24"/>
      <c r="M175" s="7"/>
      <c r="N175" s="7"/>
      <c r="O175" s="7"/>
      <c r="P175" s="7"/>
      <c r="Q175" s="7"/>
    </row>
    <row r="176" spans="2:17" customFormat="1" ht="15.75" customHeight="1">
      <c r="B176" s="5" t="s">
        <v>371</v>
      </c>
      <c r="C176" s="283" t="s">
        <v>234</v>
      </c>
      <c r="D176" s="5" t="s">
        <v>235</v>
      </c>
      <c r="E176" s="221" t="s">
        <v>198</v>
      </c>
      <c r="F176" s="5">
        <v>712618</v>
      </c>
      <c r="G176" s="119" t="s">
        <v>86</v>
      </c>
      <c r="H176" s="119" t="s">
        <v>1349</v>
      </c>
      <c r="I176" s="384">
        <v>1</v>
      </c>
      <c r="J176" s="141" t="s">
        <v>59</v>
      </c>
      <c r="K176" s="221" t="s">
        <v>105</v>
      </c>
      <c r="L176" s="24"/>
      <c r="M176" s="273"/>
      <c r="N176" s="273"/>
      <c r="O176" s="273"/>
      <c r="P176" s="273"/>
      <c r="Q176" s="273"/>
    </row>
    <row r="177" spans="2:17" customFormat="1" ht="15.75" customHeight="1">
      <c r="B177" s="5" t="s">
        <v>372</v>
      </c>
      <c r="C177" s="283" t="s">
        <v>234</v>
      </c>
      <c r="D177" s="5" t="s">
        <v>235</v>
      </c>
      <c r="E177" s="130" t="s">
        <v>56</v>
      </c>
      <c r="F177" s="5">
        <v>712905</v>
      </c>
      <c r="G177" s="119" t="s">
        <v>67</v>
      </c>
      <c r="H177" s="119" t="s">
        <v>1320</v>
      </c>
      <c r="I177" s="164">
        <v>1</v>
      </c>
      <c r="J177" s="141" t="s">
        <v>61</v>
      </c>
      <c r="K177" s="121" t="s">
        <v>851</v>
      </c>
      <c r="L177" s="25"/>
      <c r="M177" s="7"/>
      <c r="N177" s="7"/>
      <c r="O177" s="7"/>
      <c r="P177" s="7"/>
      <c r="Q177" s="7"/>
    </row>
    <row r="178" spans="2:17" customFormat="1" ht="15.75" customHeight="1">
      <c r="B178" s="5" t="s">
        <v>373</v>
      </c>
      <c r="C178" s="283" t="s">
        <v>234</v>
      </c>
      <c r="D178" s="5" t="s">
        <v>235</v>
      </c>
      <c r="E178" s="130" t="s">
        <v>206</v>
      </c>
      <c r="F178" s="5">
        <v>722204</v>
      </c>
      <c r="G178" s="119" t="s">
        <v>185</v>
      </c>
      <c r="H178" s="119" t="s">
        <v>1343</v>
      </c>
      <c r="I178" s="383">
        <v>6</v>
      </c>
      <c r="J178" s="141" t="s">
        <v>59</v>
      </c>
      <c r="K178" s="122" t="s">
        <v>105</v>
      </c>
      <c r="L178" s="25"/>
      <c r="M178" s="7"/>
      <c r="N178" s="7"/>
      <c r="O178" s="7"/>
      <c r="P178" s="7"/>
      <c r="Q178" s="7"/>
    </row>
    <row r="179" spans="2:17" customFormat="1" ht="15" customHeight="1">
      <c r="B179" s="5" t="s">
        <v>374</v>
      </c>
      <c r="C179" s="283" t="s">
        <v>234</v>
      </c>
      <c r="D179" s="5" t="s">
        <v>235</v>
      </c>
      <c r="E179" s="130" t="s">
        <v>175</v>
      </c>
      <c r="F179" s="5">
        <v>711204</v>
      </c>
      <c r="G179" s="119" t="s">
        <v>106</v>
      </c>
      <c r="H179" s="119" t="s">
        <v>1345</v>
      </c>
      <c r="I179" s="145">
        <v>2</v>
      </c>
      <c r="J179" s="141" t="s">
        <v>59</v>
      </c>
      <c r="K179" s="122" t="s">
        <v>105</v>
      </c>
      <c r="L179" s="29"/>
      <c r="M179" s="7"/>
      <c r="N179" s="7"/>
      <c r="O179" s="7"/>
      <c r="P179" s="7"/>
      <c r="Q179" s="7"/>
    </row>
    <row r="180" spans="2:17" customFormat="1" ht="15" customHeight="1">
      <c r="B180" s="5" t="s">
        <v>375</v>
      </c>
      <c r="C180" s="283" t="s">
        <v>234</v>
      </c>
      <c r="D180" s="5" t="s">
        <v>235</v>
      </c>
      <c r="E180" s="130" t="s">
        <v>33</v>
      </c>
      <c r="F180" s="5">
        <v>711204</v>
      </c>
      <c r="G180" s="119" t="s">
        <v>69</v>
      </c>
      <c r="H180" s="119" t="s">
        <v>1343</v>
      </c>
      <c r="I180" s="145">
        <v>2</v>
      </c>
      <c r="J180" s="141" t="s">
        <v>59</v>
      </c>
      <c r="K180" s="122" t="s">
        <v>105</v>
      </c>
      <c r="L180" s="24"/>
      <c r="M180" s="7"/>
      <c r="N180" s="7"/>
      <c r="O180" s="7"/>
      <c r="P180" s="7"/>
      <c r="Q180" s="7"/>
    </row>
    <row r="181" spans="2:17" customFormat="1" ht="15" customHeight="1">
      <c r="B181" s="5" t="s">
        <v>376</v>
      </c>
      <c r="C181" s="283" t="s">
        <v>238</v>
      </c>
      <c r="D181" s="5" t="s">
        <v>108</v>
      </c>
      <c r="E181" s="130" t="s">
        <v>37</v>
      </c>
      <c r="F181" s="119">
        <v>751201</v>
      </c>
      <c r="G181" s="119" t="s">
        <v>183</v>
      </c>
      <c r="H181" s="119" t="s">
        <v>2414</v>
      </c>
      <c r="I181" s="159">
        <v>7</v>
      </c>
      <c r="J181" s="141" t="s">
        <v>117</v>
      </c>
      <c r="K181" s="122" t="s">
        <v>943</v>
      </c>
      <c r="L181" s="32"/>
      <c r="M181" s="7"/>
      <c r="N181" s="7"/>
      <c r="O181" s="7"/>
      <c r="P181" s="7"/>
      <c r="Q181" s="7"/>
    </row>
    <row r="182" spans="2:17" customFormat="1" ht="15" customHeight="1">
      <c r="B182" s="5" t="s">
        <v>377</v>
      </c>
      <c r="C182" s="283" t="s">
        <v>238</v>
      </c>
      <c r="D182" s="5" t="s">
        <v>108</v>
      </c>
      <c r="E182" s="130" t="s">
        <v>46</v>
      </c>
      <c r="F182" s="119">
        <v>741201</v>
      </c>
      <c r="G182" s="119" t="s">
        <v>182</v>
      </c>
      <c r="H182" s="119" t="s">
        <v>1344</v>
      </c>
      <c r="I182" s="159">
        <v>2</v>
      </c>
      <c r="J182" s="141" t="s">
        <v>61</v>
      </c>
      <c r="K182" s="121" t="s">
        <v>851</v>
      </c>
      <c r="L182" s="32"/>
      <c r="M182" s="7"/>
      <c r="N182" s="7"/>
      <c r="O182" s="7"/>
      <c r="P182" s="7"/>
      <c r="Q182" s="7"/>
    </row>
    <row r="183" spans="2:17" customFormat="1" ht="15" customHeight="1">
      <c r="B183" s="5" t="s">
        <v>378</v>
      </c>
      <c r="C183" s="283" t="s">
        <v>238</v>
      </c>
      <c r="D183" s="5" t="s">
        <v>108</v>
      </c>
      <c r="E183" s="130" t="s">
        <v>38</v>
      </c>
      <c r="F183" s="119">
        <v>741103</v>
      </c>
      <c r="G183" s="119" t="s">
        <v>54</v>
      </c>
      <c r="H183" s="119" t="s">
        <v>1434</v>
      </c>
      <c r="I183" s="159">
        <v>14</v>
      </c>
      <c r="J183" s="141" t="s">
        <v>117</v>
      </c>
      <c r="K183" s="122" t="s">
        <v>943</v>
      </c>
      <c r="L183" s="32"/>
      <c r="M183" s="7"/>
      <c r="N183" s="7"/>
      <c r="O183" s="7"/>
      <c r="P183" s="7"/>
      <c r="Q183" s="7"/>
    </row>
    <row r="184" spans="2:17" customFormat="1" ht="15" customHeight="1">
      <c r="B184" s="5" t="s">
        <v>379</v>
      </c>
      <c r="C184" s="283" t="s">
        <v>238</v>
      </c>
      <c r="D184" s="5" t="s">
        <v>108</v>
      </c>
      <c r="E184" s="283" t="s">
        <v>36</v>
      </c>
      <c r="F184" s="119">
        <v>514101</v>
      </c>
      <c r="G184" s="119" t="s">
        <v>77</v>
      </c>
      <c r="H184" s="119" t="s">
        <v>2248</v>
      </c>
      <c r="I184" s="159">
        <v>15</v>
      </c>
      <c r="J184" s="141" t="s">
        <v>117</v>
      </c>
      <c r="K184" s="122" t="s">
        <v>943</v>
      </c>
      <c r="L184" s="23"/>
      <c r="M184" s="7"/>
      <c r="N184" s="7"/>
      <c r="O184" s="7"/>
      <c r="P184" s="7"/>
      <c r="Q184" s="7"/>
    </row>
    <row r="185" spans="2:17" customFormat="1" ht="15" customHeight="1">
      <c r="B185" s="5" t="s">
        <v>380</v>
      </c>
      <c r="C185" s="283" t="s">
        <v>238</v>
      </c>
      <c r="D185" s="5" t="s">
        <v>108</v>
      </c>
      <c r="E185" s="207" t="s">
        <v>44</v>
      </c>
      <c r="F185" s="119">
        <v>512001</v>
      </c>
      <c r="G185" s="6" t="s">
        <v>81</v>
      </c>
      <c r="H185" s="119" t="s">
        <v>1343</v>
      </c>
      <c r="I185" s="159">
        <v>9</v>
      </c>
      <c r="J185" s="141" t="s">
        <v>109</v>
      </c>
      <c r="K185" s="122" t="s">
        <v>237</v>
      </c>
      <c r="L185" s="23"/>
      <c r="M185" s="7"/>
      <c r="N185" s="7"/>
      <c r="O185" s="7"/>
      <c r="P185" s="7"/>
      <c r="Q185" s="7"/>
    </row>
    <row r="186" spans="2:17" customFormat="1" ht="15" customHeight="1">
      <c r="B186" s="5" t="s">
        <v>381</v>
      </c>
      <c r="C186" s="283" t="s">
        <v>238</v>
      </c>
      <c r="D186" s="5" t="s">
        <v>108</v>
      </c>
      <c r="E186" s="130" t="s">
        <v>1435</v>
      </c>
      <c r="F186" s="119">
        <v>713201</v>
      </c>
      <c r="G186" s="119" t="s">
        <v>66</v>
      </c>
      <c r="H186" s="119" t="s">
        <v>1424</v>
      </c>
      <c r="I186" s="159">
        <v>2</v>
      </c>
      <c r="J186" s="141" t="s">
        <v>61</v>
      </c>
      <c r="K186" s="121" t="s">
        <v>851</v>
      </c>
      <c r="L186" s="23"/>
      <c r="M186" s="7"/>
      <c r="N186" s="7"/>
      <c r="O186" s="7"/>
      <c r="P186" s="7"/>
      <c r="Q186" s="7"/>
    </row>
    <row r="187" spans="2:17" customFormat="1" ht="15" customHeight="1">
      <c r="B187" s="5" t="s">
        <v>382</v>
      </c>
      <c r="C187" s="283" t="s">
        <v>238</v>
      </c>
      <c r="D187" s="5" t="s">
        <v>108</v>
      </c>
      <c r="E187" s="283" t="s">
        <v>34</v>
      </c>
      <c r="F187" s="119">
        <v>723103</v>
      </c>
      <c r="G187" s="119" t="s">
        <v>75</v>
      </c>
      <c r="H187" s="119" t="s">
        <v>1421</v>
      </c>
      <c r="I187" s="159">
        <v>19</v>
      </c>
      <c r="J187" s="141" t="s">
        <v>109</v>
      </c>
      <c r="K187" s="122" t="s">
        <v>237</v>
      </c>
      <c r="L187" s="23"/>
      <c r="M187" s="7"/>
      <c r="N187" s="7"/>
      <c r="O187" s="7"/>
      <c r="P187" s="7"/>
      <c r="Q187" s="7"/>
    </row>
    <row r="188" spans="2:17" customFormat="1" ht="15" customHeight="1">
      <c r="B188" s="5" t="s">
        <v>383</v>
      </c>
      <c r="C188" s="283" t="s">
        <v>238</v>
      </c>
      <c r="D188" s="5" t="s">
        <v>108</v>
      </c>
      <c r="E188" s="130" t="s">
        <v>1466</v>
      </c>
      <c r="F188" s="119">
        <v>834103</v>
      </c>
      <c r="G188" s="119" t="s">
        <v>186</v>
      </c>
      <c r="H188" s="119" t="s">
        <v>1343</v>
      </c>
      <c r="I188" s="159">
        <v>7</v>
      </c>
      <c r="J188" s="141" t="s">
        <v>61</v>
      </c>
      <c r="K188" s="121" t="s">
        <v>851</v>
      </c>
      <c r="L188" s="23"/>
      <c r="M188" s="7"/>
      <c r="N188" s="7"/>
      <c r="O188" s="7"/>
      <c r="P188" s="7"/>
      <c r="Q188" s="7"/>
    </row>
    <row r="189" spans="2:17" customFormat="1" ht="15" customHeight="1">
      <c r="B189" s="5" t="s">
        <v>384</v>
      </c>
      <c r="C189" s="283" t="s">
        <v>238</v>
      </c>
      <c r="D189" s="5" t="s">
        <v>108</v>
      </c>
      <c r="E189" s="130" t="s">
        <v>216</v>
      </c>
      <c r="F189" s="119">
        <v>742117</v>
      </c>
      <c r="G189" s="119" t="s">
        <v>221</v>
      </c>
      <c r="H189" s="119"/>
      <c r="I189" s="159">
        <v>2</v>
      </c>
      <c r="J189" s="141" t="s">
        <v>61</v>
      </c>
      <c r="K189" s="121" t="s">
        <v>851</v>
      </c>
      <c r="L189" s="23"/>
      <c r="M189" s="7"/>
      <c r="N189" s="7"/>
      <c r="O189" s="7"/>
      <c r="P189" s="7"/>
      <c r="Q189" s="7"/>
    </row>
    <row r="190" spans="2:17" customFormat="1" ht="15" customHeight="1">
      <c r="B190" s="5" t="s">
        <v>385</v>
      </c>
      <c r="C190" s="283" t="s">
        <v>238</v>
      </c>
      <c r="D190" s="5" t="s">
        <v>108</v>
      </c>
      <c r="E190" s="130" t="s">
        <v>175</v>
      </c>
      <c r="F190" s="119">
        <v>711204</v>
      </c>
      <c r="G190" s="119" t="s">
        <v>106</v>
      </c>
      <c r="H190" s="119" t="s">
        <v>1343</v>
      </c>
      <c r="I190" s="159">
        <v>1</v>
      </c>
      <c r="J190" s="141" t="s">
        <v>61</v>
      </c>
      <c r="K190" s="121" t="s">
        <v>851</v>
      </c>
      <c r="L190" s="23"/>
      <c r="M190" s="7"/>
      <c r="N190" s="7"/>
      <c r="O190" s="7"/>
      <c r="P190" s="7"/>
      <c r="Q190" s="7"/>
    </row>
    <row r="191" spans="2:17" customFormat="1" ht="15" customHeight="1">
      <c r="B191" s="5" t="s">
        <v>386</v>
      </c>
      <c r="C191" s="283" t="s">
        <v>238</v>
      </c>
      <c r="D191" s="5" t="s">
        <v>108</v>
      </c>
      <c r="E191" s="130" t="s">
        <v>103</v>
      </c>
      <c r="F191" s="119">
        <v>722307</v>
      </c>
      <c r="G191" s="119" t="s">
        <v>83</v>
      </c>
      <c r="H191" s="119" t="s">
        <v>1349</v>
      </c>
      <c r="I191" s="377">
        <v>3</v>
      </c>
      <c r="J191" s="141" t="s">
        <v>59</v>
      </c>
      <c r="K191" s="122" t="s">
        <v>105</v>
      </c>
      <c r="L191" s="21"/>
      <c r="M191" s="7"/>
      <c r="N191" s="7"/>
      <c r="O191" s="7"/>
      <c r="P191" s="7"/>
      <c r="Q191" s="7"/>
    </row>
    <row r="192" spans="2:17" customFormat="1" ht="15" customHeight="1">
      <c r="B192" s="5" t="s">
        <v>387</v>
      </c>
      <c r="C192" s="283" t="s">
        <v>238</v>
      </c>
      <c r="D192" s="291" t="s">
        <v>108</v>
      </c>
      <c r="E192" s="130" t="s">
        <v>245</v>
      </c>
      <c r="F192" s="119">
        <v>911205</v>
      </c>
      <c r="G192" s="119" t="s">
        <v>249</v>
      </c>
      <c r="H192" s="119" t="s">
        <v>1324</v>
      </c>
      <c r="I192" s="159">
        <v>1</v>
      </c>
      <c r="J192" s="141" t="s">
        <v>547</v>
      </c>
      <c r="K192" s="121" t="s">
        <v>41</v>
      </c>
      <c r="L192" s="23"/>
      <c r="M192" s="7"/>
      <c r="N192" s="7"/>
      <c r="O192" s="7"/>
      <c r="P192" s="7"/>
      <c r="Q192" s="7"/>
    </row>
    <row r="193" spans="2:17" customFormat="1" ht="15" customHeight="1">
      <c r="B193" s="5" t="s">
        <v>388</v>
      </c>
      <c r="C193" s="283" t="s">
        <v>238</v>
      </c>
      <c r="D193" s="5" t="s">
        <v>108</v>
      </c>
      <c r="E193" s="130" t="s">
        <v>247</v>
      </c>
      <c r="F193" s="119">
        <v>613003</v>
      </c>
      <c r="G193" s="119" t="s">
        <v>542</v>
      </c>
      <c r="H193" s="444" t="s">
        <v>1349</v>
      </c>
      <c r="I193" s="159">
        <v>1</v>
      </c>
      <c r="J193" s="141" t="s">
        <v>61</v>
      </c>
      <c r="K193" s="121" t="s">
        <v>851</v>
      </c>
      <c r="L193" s="23"/>
      <c r="M193" s="7"/>
      <c r="N193" s="7"/>
      <c r="O193" s="7"/>
      <c r="P193" s="7"/>
      <c r="Q193" s="7"/>
    </row>
    <row r="194" spans="2:17" customFormat="1" ht="15" customHeight="1">
      <c r="B194" s="5" t="s">
        <v>389</v>
      </c>
      <c r="C194" s="283" t="s">
        <v>238</v>
      </c>
      <c r="D194" s="5" t="s">
        <v>108</v>
      </c>
      <c r="E194" s="130" t="s">
        <v>33</v>
      </c>
      <c r="F194" s="119">
        <v>752205</v>
      </c>
      <c r="G194" s="119" t="s">
        <v>69</v>
      </c>
      <c r="H194" s="119" t="s">
        <v>1427</v>
      </c>
      <c r="I194" s="159">
        <v>1</v>
      </c>
      <c r="J194" s="141" t="s">
        <v>109</v>
      </c>
      <c r="K194" s="122" t="s">
        <v>237</v>
      </c>
      <c r="L194" s="23"/>
      <c r="M194" s="7"/>
      <c r="N194" s="7"/>
      <c r="O194" s="7"/>
      <c r="P194" s="7"/>
      <c r="Q194" s="7"/>
    </row>
    <row r="195" spans="2:17" customFormat="1" ht="15" customHeight="1">
      <c r="B195" s="5" t="s">
        <v>390</v>
      </c>
      <c r="C195" s="283" t="s">
        <v>238</v>
      </c>
      <c r="D195" s="5" t="s">
        <v>108</v>
      </c>
      <c r="E195" s="130" t="s">
        <v>206</v>
      </c>
      <c r="F195" s="119">
        <v>722204</v>
      </c>
      <c r="G195" s="119" t="s">
        <v>185</v>
      </c>
      <c r="H195" s="119" t="s">
        <v>1343</v>
      </c>
      <c r="I195" s="159">
        <v>15</v>
      </c>
      <c r="J195" s="141" t="s">
        <v>109</v>
      </c>
      <c r="K195" s="122" t="s">
        <v>237</v>
      </c>
      <c r="L195" s="23"/>
      <c r="M195" s="7"/>
      <c r="N195" s="7"/>
      <c r="O195" s="7"/>
      <c r="P195" s="7"/>
      <c r="Q195" s="7"/>
    </row>
    <row r="196" spans="2:17" ht="30">
      <c r="B196" s="5" t="s">
        <v>391</v>
      </c>
      <c r="C196" s="283" t="s">
        <v>238</v>
      </c>
      <c r="D196" s="119" t="s">
        <v>108</v>
      </c>
      <c r="E196" s="283" t="s">
        <v>45</v>
      </c>
      <c r="F196" s="119">
        <v>522301</v>
      </c>
      <c r="G196" s="119" t="s">
        <v>43</v>
      </c>
      <c r="H196" s="306" t="s">
        <v>2375</v>
      </c>
      <c r="I196" s="159">
        <v>13</v>
      </c>
      <c r="J196" s="280" t="s">
        <v>109</v>
      </c>
      <c r="K196" s="207" t="s">
        <v>237</v>
      </c>
      <c r="L196" s="23"/>
      <c r="M196" s="7"/>
      <c r="N196" s="7"/>
      <c r="O196" s="7"/>
      <c r="P196" s="7"/>
      <c r="Q196" s="7"/>
    </row>
    <row r="197" spans="2:17" customFormat="1" ht="15" customHeight="1">
      <c r="B197" s="5" t="s">
        <v>392</v>
      </c>
      <c r="C197" s="283" t="s">
        <v>238</v>
      </c>
      <c r="D197" s="5" t="s">
        <v>108</v>
      </c>
      <c r="E197" s="130" t="s">
        <v>58</v>
      </c>
      <c r="F197" s="119">
        <v>753402</v>
      </c>
      <c r="G197" s="119" t="s">
        <v>70</v>
      </c>
      <c r="H197" s="119" t="s">
        <v>2356</v>
      </c>
      <c r="I197" s="159">
        <v>1</v>
      </c>
      <c r="J197" s="141" t="s">
        <v>117</v>
      </c>
      <c r="K197" s="122" t="s">
        <v>943</v>
      </c>
      <c r="L197" s="23"/>
      <c r="M197" s="7"/>
      <c r="N197" s="7"/>
      <c r="O197" s="7"/>
      <c r="P197" s="7"/>
      <c r="Q197" s="7"/>
    </row>
    <row r="198" spans="2:17" customFormat="1" ht="15" customHeight="1">
      <c r="B198" s="5" t="s">
        <v>393</v>
      </c>
      <c r="C198" s="283" t="s">
        <v>238</v>
      </c>
      <c r="D198" s="5" t="s">
        <v>108</v>
      </c>
      <c r="E198" s="130" t="s">
        <v>248</v>
      </c>
      <c r="F198" s="119">
        <v>721301</v>
      </c>
      <c r="G198" s="119" t="s">
        <v>857</v>
      </c>
      <c r="H198" s="119" t="s">
        <v>1345</v>
      </c>
      <c r="I198" s="159">
        <v>1</v>
      </c>
      <c r="J198" s="141" t="s">
        <v>61</v>
      </c>
      <c r="K198" s="121" t="s">
        <v>851</v>
      </c>
      <c r="L198" s="23"/>
      <c r="M198" s="7"/>
      <c r="N198" s="7"/>
      <c r="O198" s="7"/>
      <c r="P198" s="7"/>
      <c r="Q198" s="7"/>
    </row>
    <row r="199" spans="2:17" customFormat="1" ht="15" customHeight="1">
      <c r="B199" s="5" t="s">
        <v>394</v>
      </c>
      <c r="C199" s="283" t="s">
        <v>238</v>
      </c>
      <c r="D199" s="292" t="s">
        <v>108</v>
      </c>
      <c r="E199" s="122" t="s">
        <v>1428</v>
      </c>
      <c r="F199" s="120">
        <v>742118</v>
      </c>
      <c r="G199" s="120" t="s">
        <v>1370</v>
      </c>
      <c r="H199" s="120" t="s">
        <v>1323</v>
      </c>
      <c r="I199" s="135">
        <v>1</v>
      </c>
      <c r="J199" s="157" t="s">
        <v>547</v>
      </c>
      <c r="K199" s="121" t="s">
        <v>41</v>
      </c>
      <c r="L199" s="23"/>
      <c r="M199" s="7"/>
      <c r="N199" s="7"/>
      <c r="O199" s="7"/>
      <c r="P199" s="7"/>
      <c r="Q199" s="7"/>
    </row>
    <row r="200" spans="2:17" customFormat="1" ht="15" customHeight="1">
      <c r="B200" s="5" t="s">
        <v>395</v>
      </c>
      <c r="C200" s="283" t="s">
        <v>238</v>
      </c>
      <c r="D200" s="292" t="s">
        <v>108</v>
      </c>
      <c r="E200" s="130" t="s">
        <v>533</v>
      </c>
      <c r="F200" s="120">
        <v>723310</v>
      </c>
      <c r="G200" s="120" t="s">
        <v>282</v>
      </c>
      <c r="H200" s="120" t="s">
        <v>1323</v>
      </c>
      <c r="I200" s="135">
        <v>1</v>
      </c>
      <c r="J200" s="122" t="s">
        <v>547</v>
      </c>
      <c r="K200" s="121" t="s">
        <v>41</v>
      </c>
      <c r="L200" s="23"/>
      <c r="M200" s="7"/>
      <c r="N200" s="7"/>
      <c r="O200" s="7"/>
      <c r="P200" s="7"/>
      <c r="Q200" s="7"/>
    </row>
    <row r="201" spans="2:17" ht="15" customHeight="1">
      <c r="B201" s="5" t="s">
        <v>396</v>
      </c>
      <c r="C201" s="283" t="s">
        <v>250</v>
      </c>
      <c r="D201" s="119" t="s">
        <v>251</v>
      </c>
      <c r="E201" s="283" t="s">
        <v>36</v>
      </c>
      <c r="F201" s="119">
        <v>514101</v>
      </c>
      <c r="G201" s="119" t="s">
        <v>77</v>
      </c>
      <c r="H201" s="6"/>
      <c r="I201" s="320">
        <v>0</v>
      </c>
      <c r="J201" s="280" t="s">
        <v>116</v>
      </c>
      <c r="K201" s="207" t="s">
        <v>942</v>
      </c>
      <c r="L201" s="32"/>
      <c r="M201" s="10"/>
      <c r="N201" s="10"/>
      <c r="O201" s="10"/>
      <c r="P201" s="10"/>
      <c r="Q201" s="281"/>
    </row>
    <row r="202" spans="2:17" customFormat="1" ht="15" customHeight="1">
      <c r="B202" s="5" t="s">
        <v>397</v>
      </c>
      <c r="C202" s="283" t="s">
        <v>250</v>
      </c>
      <c r="D202" s="5" t="s">
        <v>251</v>
      </c>
      <c r="E202" s="130" t="s">
        <v>103</v>
      </c>
      <c r="F202" s="119">
        <v>722307</v>
      </c>
      <c r="G202" s="119" t="s">
        <v>83</v>
      </c>
      <c r="H202" s="119" t="s">
        <v>1349</v>
      </c>
      <c r="I202" s="377">
        <v>2</v>
      </c>
      <c r="J202" s="141" t="s">
        <v>59</v>
      </c>
      <c r="K202" s="122" t="s">
        <v>105</v>
      </c>
      <c r="L202" s="33"/>
      <c r="M202" s="7"/>
      <c r="N202" s="7"/>
      <c r="O202" s="7"/>
      <c r="P202" s="7"/>
      <c r="Q202" s="7"/>
    </row>
    <row r="203" spans="2:17" ht="15" customHeight="1">
      <c r="B203" s="5" t="s">
        <v>398</v>
      </c>
      <c r="C203" s="283" t="s">
        <v>250</v>
      </c>
      <c r="D203" s="119" t="s">
        <v>251</v>
      </c>
      <c r="E203" s="207" t="s">
        <v>44</v>
      </c>
      <c r="F203" s="119">
        <v>512001</v>
      </c>
      <c r="G203" s="6" t="s">
        <v>81</v>
      </c>
      <c r="H203" s="119" t="s">
        <v>1340</v>
      </c>
      <c r="I203" s="159">
        <v>1</v>
      </c>
      <c r="J203" s="280" t="s">
        <v>116</v>
      </c>
      <c r="K203" s="207" t="s">
        <v>942</v>
      </c>
      <c r="L203" s="28"/>
      <c r="M203" s="10"/>
      <c r="N203" s="10"/>
      <c r="O203" s="10"/>
      <c r="P203" s="10"/>
      <c r="Q203" s="10"/>
    </row>
    <row r="204" spans="2:17" ht="30" customHeight="1">
      <c r="B204" s="5" t="s">
        <v>399</v>
      </c>
      <c r="C204" s="283" t="s">
        <v>250</v>
      </c>
      <c r="D204" s="119" t="s">
        <v>251</v>
      </c>
      <c r="E204" s="283" t="s">
        <v>45</v>
      </c>
      <c r="F204" s="119">
        <v>522301</v>
      </c>
      <c r="G204" s="119" t="s">
        <v>43</v>
      </c>
      <c r="H204" s="6" t="s">
        <v>2342</v>
      </c>
      <c r="I204" s="159">
        <v>5</v>
      </c>
      <c r="J204" s="280" t="s">
        <v>116</v>
      </c>
      <c r="K204" s="207" t="s">
        <v>942</v>
      </c>
      <c r="L204" s="28"/>
      <c r="M204" s="10"/>
      <c r="N204" s="10"/>
      <c r="O204" s="10"/>
      <c r="P204" s="10"/>
      <c r="Q204" s="10"/>
    </row>
    <row r="205" spans="2:17" customFormat="1" ht="15" customHeight="1">
      <c r="B205" s="5" t="s">
        <v>400</v>
      </c>
      <c r="C205" s="283" t="s">
        <v>250</v>
      </c>
      <c r="D205" s="5" t="s">
        <v>251</v>
      </c>
      <c r="E205" s="283" t="s">
        <v>34</v>
      </c>
      <c r="F205" s="119">
        <v>723103</v>
      </c>
      <c r="G205" s="119" t="s">
        <v>75</v>
      </c>
      <c r="H205" s="119" t="s">
        <v>1341</v>
      </c>
      <c r="I205" s="159">
        <v>9</v>
      </c>
      <c r="J205" s="141" t="s">
        <v>59</v>
      </c>
      <c r="K205" s="42" t="s">
        <v>579</v>
      </c>
      <c r="L205" s="28"/>
      <c r="M205" s="7"/>
      <c r="N205" s="7"/>
      <c r="O205" s="7"/>
      <c r="P205" s="7"/>
      <c r="Q205" s="7"/>
    </row>
    <row r="206" spans="2:17" customFormat="1" ht="15" customHeight="1">
      <c r="B206" s="5" t="s">
        <v>401</v>
      </c>
      <c r="C206" s="283" t="s">
        <v>250</v>
      </c>
      <c r="D206" s="5" t="s">
        <v>251</v>
      </c>
      <c r="E206" s="130" t="s">
        <v>52</v>
      </c>
      <c r="F206" s="119">
        <v>721306</v>
      </c>
      <c r="G206" s="119" t="s">
        <v>63</v>
      </c>
      <c r="H206" s="119" t="s">
        <v>2394</v>
      </c>
      <c r="I206" s="377">
        <v>2</v>
      </c>
      <c r="J206" s="141" t="s">
        <v>59</v>
      </c>
      <c r="K206" s="122" t="s">
        <v>105</v>
      </c>
      <c r="L206" s="28"/>
      <c r="M206" s="7"/>
      <c r="N206" s="7"/>
      <c r="O206" s="7"/>
      <c r="P206" s="7"/>
      <c r="Q206" s="7"/>
    </row>
    <row r="207" spans="2:17" customFormat="1" ht="15" customHeight="1">
      <c r="B207" s="5" t="s">
        <v>402</v>
      </c>
      <c r="C207" s="283" t="s">
        <v>250</v>
      </c>
      <c r="D207" s="5" t="s">
        <v>251</v>
      </c>
      <c r="E207" s="221" t="s">
        <v>198</v>
      </c>
      <c r="F207" s="119">
        <v>712618</v>
      </c>
      <c r="G207" s="119" t="s">
        <v>86</v>
      </c>
      <c r="H207" s="119" t="s">
        <v>1349</v>
      </c>
      <c r="I207" s="377">
        <v>1</v>
      </c>
      <c r="J207" s="141" t="s">
        <v>59</v>
      </c>
      <c r="K207" s="122" t="s">
        <v>105</v>
      </c>
      <c r="L207" s="28"/>
      <c r="M207" s="7"/>
      <c r="N207" s="7"/>
      <c r="O207" s="7"/>
      <c r="P207" s="7"/>
      <c r="Q207" s="7"/>
    </row>
    <row r="208" spans="2:17" customFormat="1" ht="15" customHeight="1">
      <c r="B208" s="5" t="s">
        <v>403</v>
      </c>
      <c r="C208" s="283" t="s">
        <v>255</v>
      </c>
      <c r="D208" s="5" t="s">
        <v>256</v>
      </c>
      <c r="E208" s="130" t="s">
        <v>52</v>
      </c>
      <c r="F208" s="119">
        <v>721306</v>
      </c>
      <c r="G208" s="119" t="s">
        <v>63</v>
      </c>
      <c r="H208" s="119" t="s">
        <v>2394</v>
      </c>
      <c r="I208" s="145">
        <v>1</v>
      </c>
      <c r="J208" s="141" t="s">
        <v>59</v>
      </c>
      <c r="K208" s="122" t="s">
        <v>105</v>
      </c>
      <c r="L208" s="21"/>
      <c r="M208" s="7"/>
      <c r="N208" s="7"/>
      <c r="O208" s="7"/>
      <c r="P208" s="7"/>
      <c r="Q208" s="7"/>
    </row>
    <row r="209" spans="2:17" customFormat="1" ht="15" customHeight="1">
      <c r="B209" s="5" t="s">
        <v>404</v>
      </c>
      <c r="C209" s="283" t="s">
        <v>255</v>
      </c>
      <c r="D209" s="5" t="s">
        <v>256</v>
      </c>
      <c r="E209" s="130" t="s">
        <v>37</v>
      </c>
      <c r="F209" s="119">
        <v>751201</v>
      </c>
      <c r="G209" s="119" t="s">
        <v>183</v>
      </c>
      <c r="H209" s="119" t="s">
        <v>1349</v>
      </c>
      <c r="I209" s="145">
        <v>1</v>
      </c>
      <c r="J209" s="141" t="s">
        <v>59</v>
      </c>
      <c r="K209" s="122" t="s">
        <v>105</v>
      </c>
      <c r="L209" s="21"/>
      <c r="M209" s="7"/>
      <c r="N209" s="7"/>
      <c r="O209" s="7"/>
      <c r="P209" s="7"/>
      <c r="Q209" s="7"/>
    </row>
    <row r="210" spans="2:17" customFormat="1" ht="15" customHeight="1">
      <c r="B210" s="5" t="s">
        <v>405</v>
      </c>
      <c r="C210" s="283" t="s">
        <v>255</v>
      </c>
      <c r="D210" s="5" t="s">
        <v>256</v>
      </c>
      <c r="E210" s="130" t="s">
        <v>38</v>
      </c>
      <c r="F210" s="119">
        <v>741103</v>
      </c>
      <c r="G210" s="119" t="s">
        <v>54</v>
      </c>
      <c r="H210" s="119" t="s">
        <v>1350</v>
      </c>
      <c r="I210" s="145">
        <v>4</v>
      </c>
      <c r="J210" s="141" t="s">
        <v>59</v>
      </c>
      <c r="K210" s="122" t="s">
        <v>105</v>
      </c>
      <c r="L210" s="21"/>
      <c r="M210" s="7"/>
      <c r="N210" s="7"/>
      <c r="O210" s="7"/>
      <c r="P210" s="7"/>
      <c r="Q210" s="7"/>
    </row>
    <row r="211" spans="2:17" customFormat="1" ht="15" customHeight="1">
      <c r="B211" s="5" t="s">
        <v>406</v>
      </c>
      <c r="C211" s="283" t="s">
        <v>255</v>
      </c>
      <c r="D211" s="5" t="s">
        <v>256</v>
      </c>
      <c r="E211" s="130" t="s">
        <v>53</v>
      </c>
      <c r="F211" s="119">
        <v>741203</v>
      </c>
      <c r="G211" s="119" t="s">
        <v>64</v>
      </c>
      <c r="H211" s="119" t="s">
        <v>1349</v>
      </c>
      <c r="I211" s="145">
        <v>1</v>
      </c>
      <c r="J211" s="141" t="s">
        <v>59</v>
      </c>
      <c r="K211" s="122" t="s">
        <v>105</v>
      </c>
      <c r="L211" s="21"/>
      <c r="M211" s="7"/>
      <c r="N211" s="7"/>
      <c r="O211" s="7"/>
      <c r="P211" s="7"/>
      <c r="Q211" s="7"/>
    </row>
    <row r="212" spans="2:17" ht="30" customHeight="1">
      <c r="B212" s="5" t="s">
        <v>407</v>
      </c>
      <c r="C212" s="283" t="s">
        <v>255</v>
      </c>
      <c r="D212" s="119" t="s">
        <v>256</v>
      </c>
      <c r="E212" s="283" t="s">
        <v>36</v>
      </c>
      <c r="F212" s="119">
        <v>514101</v>
      </c>
      <c r="G212" s="119" t="s">
        <v>77</v>
      </c>
      <c r="H212" s="6" t="s">
        <v>2400</v>
      </c>
      <c r="I212" s="131">
        <v>42</v>
      </c>
      <c r="J212" s="280" t="s">
        <v>59</v>
      </c>
      <c r="K212" s="207" t="s">
        <v>105</v>
      </c>
      <c r="L212" s="21"/>
      <c r="M212" s="7"/>
      <c r="N212" s="7"/>
      <c r="O212" s="7"/>
      <c r="P212" s="7"/>
      <c r="Q212" s="7"/>
    </row>
    <row r="213" spans="2:17" customFormat="1" ht="15" customHeight="1">
      <c r="B213" s="5" t="s">
        <v>408</v>
      </c>
      <c r="C213" s="283" t="s">
        <v>255</v>
      </c>
      <c r="D213" s="5" t="s">
        <v>256</v>
      </c>
      <c r="E213" s="207" t="s">
        <v>44</v>
      </c>
      <c r="F213" s="119">
        <v>512001</v>
      </c>
      <c r="G213" s="6" t="s">
        <v>81</v>
      </c>
      <c r="H213" s="119" t="s">
        <v>1343</v>
      </c>
      <c r="I213" s="145">
        <v>15</v>
      </c>
      <c r="J213" s="141" t="s">
        <v>59</v>
      </c>
      <c r="K213" s="122" t="s">
        <v>105</v>
      </c>
      <c r="L213" s="21"/>
      <c r="M213" s="7"/>
      <c r="N213" s="7"/>
      <c r="O213" s="7"/>
      <c r="P213" s="7"/>
      <c r="Q213" s="7"/>
    </row>
    <row r="214" spans="2:17" customFormat="1" ht="15" customHeight="1">
      <c r="B214" s="5" t="s">
        <v>409</v>
      </c>
      <c r="C214" s="283" t="s">
        <v>255</v>
      </c>
      <c r="D214" s="5" t="s">
        <v>256</v>
      </c>
      <c r="E214" s="130" t="s">
        <v>1435</v>
      </c>
      <c r="F214" s="119">
        <v>713203</v>
      </c>
      <c r="G214" s="119" t="s">
        <v>66</v>
      </c>
      <c r="H214" s="119" t="s">
        <v>1344</v>
      </c>
      <c r="I214" s="145">
        <v>1</v>
      </c>
      <c r="J214" s="141" t="s">
        <v>59</v>
      </c>
      <c r="K214" s="122" t="s">
        <v>105</v>
      </c>
      <c r="L214" s="21"/>
      <c r="M214" s="7"/>
      <c r="N214" s="7"/>
      <c r="O214" s="7"/>
      <c r="P214" s="7"/>
      <c r="Q214" s="7"/>
    </row>
    <row r="215" spans="2:17" customFormat="1" ht="15" customHeight="1">
      <c r="B215" s="5" t="s">
        <v>410</v>
      </c>
      <c r="C215" s="283" t="s">
        <v>255</v>
      </c>
      <c r="D215" s="5" t="s">
        <v>256</v>
      </c>
      <c r="E215" s="283" t="s">
        <v>34</v>
      </c>
      <c r="F215" s="119">
        <v>723103</v>
      </c>
      <c r="G215" s="119" t="s">
        <v>75</v>
      </c>
      <c r="H215" s="119" t="s">
        <v>1343</v>
      </c>
      <c r="I215" s="145">
        <v>15</v>
      </c>
      <c r="J215" s="141" t="s">
        <v>59</v>
      </c>
      <c r="K215" s="122" t="s">
        <v>105</v>
      </c>
      <c r="L215" s="21"/>
      <c r="M215" s="7"/>
      <c r="N215" s="7"/>
      <c r="O215" s="7"/>
      <c r="P215" s="7"/>
      <c r="Q215" s="7"/>
    </row>
    <row r="216" spans="2:17" customFormat="1" ht="15" customHeight="1">
      <c r="B216" s="5" t="s">
        <v>411</v>
      </c>
      <c r="C216" s="283" t="s">
        <v>255</v>
      </c>
      <c r="D216" s="5" t="s">
        <v>256</v>
      </c>
      <c r="E216" s="221" t="s">
        <v>198</v>
      </c>
      <c r="F216" s="119">
        <v>712618</v>
      </c>
      <c r="G216" s="119" t="s">
        <v>86</v>
      </c>
      <c r="H216" s="119" t="s">
        <v>1347</v>
      </c>
      <c r="I216" s="376">
        <v>0</v>
      </c>
      <c r="J216" s="141" t="s">
        <v>59</v>
      </c>
      <c r="K216" s="122" t="s">
        <v>105</v>
      </c>
      <c r="L216" s="21"/>
      <c r="M216" s="7"/>
      <c r="N216" s="7"/>
      <c r="O216" s="7"/>
      <c r="P216" s="7"/>
      <c r="Q216" s="7"/>
    </row>
    <row r="217" spans="2:17" customFormat="1" ht="15" customHeight="1">
      <c r="B217" s="5" t="s">
        <v>412</v>
      </c>
      <c r="C217" s="283" t="s">
        <v>255</v>
      </c>
      <c r="D217" s="5" t="s">
        <v>256</v>
      </c>
      <c r="E217" s="130" t="s">
        <v>57</v>
      </c>
      <c r="F217" s="119">
        <v>751204</v>
      </c>
      <c r="G217" s="119" t="s">
        <v>68</v>
      </c>
      <c r="H217" s="119" t="s">
        <v>1348</v>
      </c>
      <c r="I217" s="145">
        <v>2</v>
      </c>
      <c r="J217" s="141" t="s">
        <v>59</v>
      </c>
      <c r="K217" s="122" t="s">
        <v>105</v>
      </c>
      <c r="L217" s="21"/>
      <c r="M217" s="7"/>
      <c r="N217" s="7"/>
      <c r="O217" s="7"/>
      <c r="P217" s="7"/>
      <c r="Q217" s="7"/>
    </row>
    <row r="218" spans="2:17" customFormat="1" ht="15" customHeight="1">
      <c r="B218" s="5" t="s">
        <v>413</v>
      </c>
      <c r="C218" s="283" t="s">
        <v>255</v>
      </c>
      <c r="D218" s="5" t="s">
        <v>256</v>
      </c>
      <c r="E218" s="283" t="s">
        <v>45</v>
      </c>
      <c r="F218" s="119">
        <v>522301</v>
      </c>
      <c r="G218" s="119" t="s">
        <v>43</v>
      </c>
      <c r="H218" s="119" t="s">
        <v>1347</v>
      </c>
      <c r="I218" s="145">
        <v>14</v>
      </c>
      <c r="J218" s="141" t="s">
        <v>59</v>
      </c>
      <c r="K218" s="122" t="s">
        <v>105</v>
      </c>
      <c r="L218" s="21"/>
      <c r="M218" s="7"/>
      <c r="N218" s="7"/>
      <c r="O218" s="7"/>
      <c r="P218" s="7"/>
      <c r="Q218" s="7"/>
    </row>
    <row r="219" spans="2:17" customFormat="1" ht="15" customHeight="1">
      <c r="B219" s="5" t="s">
        <v>414</v>
      </c>
      <c r="C219" s="283" t="s">
        <v>255</v>
      </c>
      <c r="D219" s="5" t="s">
        <v>256</v>
      </c>
      <c r="E219" s="130" t="s">
        <v>33</v>
      </c>
      <c r="F219" s="119">
        <v>752205</v>
      </c>
      <c r="G219" s="119" t="s">
        <v>69</v>
      </c>
      <c r="H219" s="119" t="s">
        <v>1343</v>
      </c>
      <c r="I219" s="145">
        <v>3</v>
      </c>
      <c r="J219" s="141" t="s">
        <v>59</v>
      </c>
      <c r="K219" s="122" t="s">
        <v>105</v>
      </c>
      <c r="L219" s="21"/>
      <c r="M219" s="7"/>
      <c r="N219" s="7"/>
      <c r="O219" s="7"/>
      <c r="P219" s="7"/>
      <c r="Q219" s="7"/>
    </row>
    <row r="220" spans="2:17" customFormat="1" ht="15" customHeight="1">
      <c r="B220" s="5" t="s">
        <v>415</v>
      </c>
      <c r="C220" s="283" t="s">
        <v>255</v>
      </c>
      <c r="D220" s="5" t="s">
        <v>256</v>
      </c>
      <c r="E220" s="130" t="s">
        <v>206</v>
      </c>
      <c r="F220" s="119">
        <v>722204</v>
      </c>
      <c r="G220" s="119" t="s">
        <v>185</v>
      </c>
      <c r="H220" s="119" t="s">
        <v>1343</v>
      </c>
      <c r="I220" s="145">
        <v>1</v>
      </c>
      <c r="J220" s="141" t="s">
        <v>59</v>
      </c>
      <c r="K220" s="122" t="s">
        <v>105</v>
      </c>
      <c r="L220" s="21"/>
      <c r="M220" s="7"/>
      <c r="N220" s="7"/>
      <c r="O220" s="7"/>
      <c r="P220" s="7"/>
      <c r="Q220" s="7"/>
    </row>
    <row r="221" spans="2:17" customFormat="1" ht="15" customHeight="1">
      <c r="B221" s="5" t="s">
        <v>416</v>
      </c>
      <c r="C221" s="283" t="s">
        <v>255</v>
      </c>
      <c r="D221" s="5" t="s">
        <v>256</v>
      </c>
      <c r="E221" s="130" t="s">
        <v>175</v>
      </c>
      <c r="F221" s="119">
        <v>711204</v>
      </c>
      <c r="G221" s="119" t="s">
        <v>106</v>
      </c>
      <c r="H221" s="119" t="s">
        <v>1345</v>
      </c>
      <c r="I221" s="145">
        <v>1</v>
      </c>
      <c r="J221" s="141" t="s">
        <v>59</v>
      </c>
      <c r="K221" s="122" t="s">
        <v>105</v>
      </c>
      <c r="L221" s="21"/>
      <c r="M221" s="7"/>
      <c r="N221" s="7"/>
      <c r="O221" s="7"/>
      <c r="P221" s="7"/>
      <c r="Q221" s="7"/>
    </row>
    <row r="222" spans="2:17" customFormat="1" ht="15" customHeight="1">
      <c r="B222" s="5" t="s">
        <v>417</v>
      </c>
      <c r="C222" s="283" t="s">
        <v>257</v>
      </c>
      <c r="D222" s="5" t="s">
        <v>258</v>
      </c>
      <c r="E222" s="130" t="s">
        <v>236</v>
      </c>
      <c r="F222" s="119">
        <v>711402</v>
      </c>
      <c r="G222" s="119" t="s">
        <v>854</v>
      </c>
      <c r="H222" s="119" t="s">
        <v>1344</v>
      </c>
      <c r="I222" s="145">
        <v>10</v>
      </c>
      <c r="J222" s="141" t="s">
        <v>59</v>
      </c>
      <c r="K222" s="122" t="s">
        <v>105</v>
      </c>
      <c r="L222" s="24"/>
      <c r="M222" s="7"/>
      <c r="N222" s="7"/>
      <c r="O222" s="7"/>
      <c r="P222" s="7"/>
      <c r="Q222" s="7"/>
    </row>
    <row r="223" spans="2:17" customFormat="1" ht="15" customHeight="1">
      <c r="B223" s="5" t="s">
        <v>418</v>
      </c>
      <c r="C223" s="283" t="s">
        <v>257</v>
      </c>
      <c r="D223" s="5" t="s">
        <v>258</v>
      </c>
      <c r="E223" s="130" t="s">
        <v>38</v>
      </c>
      <c r="F223" s="119">
        <v>741103</v>
      </c>
      <c r="G223" s="119" t="s">
        <v>54</v>
      </c>
      <c r="H223" s="119" t="s">
        <v>1350</v>
      </c>
      <c r="I223" s="145">
        <v>4</v>
      </c>
      <c r="J223" s="141" t="s">
        <v>59</v>
      </c>
      <c r="K223" s="122" t="s">
        <v>105</v>
      </c>
      <c r="L223" s="24"/>
      <c r="M223" s="7"/>
      <c r="N223" s="7"/>
      <c r="O223" s="7"/>
      <c r="P223" s="7"/>
      <c r="Q223" s="7"/>
    </row>
    <row r="224" spans="2:17" ht="30">
      <c r="B224" s="5" t="s">
        <v>419</v>
      </c>
      <c r="C224" s="283" t="s">
        <v>257</v>
      </c>
      <c r="D224" s="119" t="s">
        <v>258</v>
      </c>
      <c r="E224" s="283" t="s">
        <v>36</v>
      </c>
      <c r="F224" s="119">
        <v>514101</v>
      </c>
      <c r="G224" s="119" t="s">
        <v>77</v>
      </c>
      <c r="H224" s="6" t="s">
        <v>2269</v>
      </c>
      <c r="I224" s="131">
        <v>4</v>
      </c>
      <c r="J224" s="280" t="s">
        <v>228</v>
      </c>
      <c r="K224" s="207" t="s">
        <v>104</v>
      </c>
      <c r="L224" s="27"/>
      <c r="M224" s="287"/>
      <c r="N224" s="10"/>
      <c r="O224" s="10"/>
      <c r="P224" s="10"/>
      <c r="Q224" s="10"/>
    </row>
    <row r="225" spans="2:17" ht="30">
      <c r="B225" s="5" t="s">
        <v>420</v>
      </c>
      <c r="C225" s="283" t="s">
        <v>257</v>
      </c>
      <c r="D225" s="119" t="s">
        <v>258</v>
      </c>
      <c r="E225" s="207" t="s">
        <v>44</v>
      </c>
      <c r="F225" s="119">
        <v>512001</v>
      </c>
      <c r="G225" s="6" t="s">
        <v>81</v>
      </c>
      <c r="H225" s="6" t="s">
        <v>2264</v>
      </c>
      <c r="I225" s="131">
        <v>9</v>
      </c>
      <c r="J225" s="280" t="s">
        <v>228</v>
      </c>
      <c r="K225" s="207" t="s">
        <v>104</v>
      </c>
      <c r="L225" s="27"/>
      <c r="M225" s="287"/>
      <c r="N225" s="10"/>
      <c r="O225" s="10"/>
      <c r="P225" s="10"/>
      <c r="Q225" s="10"/>
    </row>
    <row r="226" spans="2:17" customFormat="1" ht="15" customHeight="1">
      <c r="B226" s="5" t="s">
        <v>421</v>
      </c>
      <c r="C226" s="283" t="s">
        <v>257</v>
      </c>
      <c r="D226" s="119" t="s">
        <v>258</v>
      </c>
      <c r="E226" s="130" t="s">
        <v>53</v>
      </c>
      <c r="F226" s="119">
        <v>741203</v>
      </c>
      <c r="G226" s="119" t="s">
        <v>64</v>
      </c>
      <c r="H226" s="119" t="s">
        <v>1349</v>
      </c>
      <c r="I226" s="145">
        <v>1</v>
      </c>
      <c r="J226" s="141" t="s">
        <v>59</v>
      </c>
      <c r="K226" s="397" t="s">
        <v>105</v>
      </c>
      <c r="L226" s="27"/>
      <c r="M226" s="15"/>
      <c r="N226" s="7"/>
      <c r="O226" s="7"/>
      <c r="P226" s="7"/>
      <c r="Q226" s="7"/>
    </row>
    <row r="227" spans="2:17" customFormat="1" ht="15" customHeight="1">
      <c r="B227" s="5" t="s">
        <v>422</v>
      </c>
      <c r="C227" s="283" t="s">
        <v>257</v>
      </c>
      <c r="D227" s="5" t="s">
        <v>258</v>
      </c>
      <c r="E227" s="130" t="s">
        <v>33</v>
      </c>
      <c r="F227" s="119">
        <v>752205</v>
      </c>
      <c r="G227" s="119" t="s">
        <v>69</v>
      </c>
      <c r="H227" s="119" t="s">
        <v>1343</v>
      </c>
      <c r="I227" s="145">
        <v>1</v>
      </c>
      <c r="J227" s="141" t="s">
        <v>59</v>
      </c>
      <c r="K227" s="397" t="s">
        <v>105</v>
      </c>
      <c r="L227" s="27"/>
      <c r="M227" s="15"/>
      <c r="N227" s="7"/>
      <c r="O227" s="7"/>
      <c r="P227" s="7"/>
      <c r="Q227" s="7"/>
    </row>
    <row r="228" spans="2:17" ht="30">
      <c r="B228" s="5" t="s">
        <v>423</v>
      </c>
      <c r="C228" s="283" t="s">
        <v>257</v>
      </c>
      <c r="D228" s="119" t="s">
        <v>258</v>
      </c>
      <c r="E228" s="283" t="s">
        <v>45</v>
      </c>
      <c r="F228" s="119">
        <v>522301</v>
      </c>
      <c r="G228" s="119" t="s">
        <v>43</v>
      </c>
      <c r="H228" s="6" t="s">
        <v>2263</v>
      </c>
      <c r="I228" s="131">
        <v>7</v>
      </c>
      <c r="J228" s="280" t="s">
        <v>228</v>
      </c>
      <c r="K228" s="207" t="s">
        <v>104</v>
      </c>
      <c r="L228" s="27"/>
      <c r="M228" s="287"/>
      <c r="N228" s="10"/>
      <c r="O228" s="10"/>
      <c r="P228" s="10"/>
      <c r="Q228" s="10"/>
    </row>
    <row r="229" spans="2:17" ht="90" customHeight="1">
      <c r="B229" s="5" t="s">
        <v>424</v>
      </c>
      <c r="C229" s="283" t="s">
        <v>259</v>
      </c>
      <c r="D229" s="119" t="s">
        <v>560</v>
      </c>
      <c r="E229" s="283" t="s">
        <v>36</v>
      </c>
      <c r="F229" s="119">
        <v>514101</v>
      </c>
      <c r="G229" s="119" t="s">
        <v>77</v>
      </c>
      <c r="H229" s="160" t="s">
        <v>1429</v>
      </c>
      <c r="I229" s="131">
        <v>35</v>
      </c>
      <c r="J229" s="280" t="s">
        <v>116</v>
      </c>
      <c r="K229" s="207" t="s">
        <v>942</v>
      </c>
      <c r="L229" s="20"/>
      <c r="M229" s="10"/>
      <c r="N229" s="10"/>
      <c r="O229" s="10"/>
      <c r="P229" s="10"/>
      <c r="Q229" s="281"/>
    </row>
    <row r="230" spans="2:17" ht="60" customHeight="1">
      <c r="B230" s="5" t="s">
        <v>425</v>
      </c>
      <c r="C230" s="283" t="s">
        <v>259</v>
      </c>
      <c r="D230" s="119" t="s">
        <v>560</v>
      </c>
      <c r="E230" s="283" t="s">
        <v>45</v>
      </c>
      <c r="F230" s="119">
        <v>522301</v>
      </c>
      <c r="G230" s="119" t="s">
        <v>43</v>
      </c>
      <c r="H230" s="160" t="s">
        <v>1430</v>
      </c>
      <c r="I230" s="131">
        <v>9</v>
      </c>
      <c r="J230" s="280" t="s">
        <v>116</v>
      </c>
      <c r="K230" s="207" t="s">
        <v>942</v>
      </c>
      <c r="L230" s="20"/>
      <c r="M230" s="10"/>
      <c r="N230" s="10"/>
      <c r="O230" s="10"/>
      <c r="P230" s="10"/>
      <c r="Q230" s="281"/>
    </row>
    <row r="231" spans="2:17" ht="30" customHeight="1">
      <c r="B231" s="5" t="s">
        <v>426</v>
      </c>
      <c r="C231" s="283" t="s">
        <v>259</v>
      </c>
      <c r="D231" s="119" t="s">
        <v>560</v>
      </c>
      <c r="E231" s="283" t="s">
        <v>37</v>
      </c>
      <c r="F231" s="119">
        <v>751201</v>
      </c>
      <c r="G231" s="119" t="s">
        <v>183</v>
      </c>
      <c r="H231" s="132" t="s">
        <v>1431</v>
      </c>
      <c r="I231" s="131">
        <v>6</v>
      </c>
      <c r="J231" s="280" t="s">
        <v>116</v>
      </c>
      <c r="K231" s="207" t="s">
        <v>942</v>
      </c>
      <c r="L231" s="23"/>
      <c r="M231" s="10"/>
      <c r="N231" s="10"/>
      <c r="O231" s="10"/>
      <c r="P231" s="10"/>
      <c r="Q231" s="281"/>
    </row>
    <row r="232" spans="2:17" ht="15" customHeight="1">
      <c r="B232" s="5" t="s">
        <v>427</v>
      </c>
      <c r="C232" s="283" t="s">
        <v>259</v>
      </c>
      <c r="D232" s="119" t="s">
        <v>560</v>
      </c>
      <c r="E232" s="207" t="s">
        <v>44</v>
      </c>
      <c r="F232" s="119">
        <v>512001</v>
      </c>
      <c r="G232" s="6" t="s">
        <v>81</v>
      </c>
      <c r="H232" s="143" t="s">
        <v>1407</v>
      </c>
      <c r="I232" s="131">
        <v>2</v>
      </c>
      <c r="J232" s="280" t="s">
        <v>116</v>
      </c>
      <c r="K232" s="207" t="s">
        <v>942</v>
      </c>
      <c r="L232" s="23"/>
      <c r="M232" s="10"/>
      <c r="N232" s="10"/>
      <c r="O232" s="10"/>
      <c r="P232" s="10"/>
      <c r="Q232" s="281"/>
    </row>
    <row r="233" spans="2:17" customFormat="1" ht="15" customHeight="1">
      <c r="B233" s="5" t="s">
        <v>428</v>
      </c>
      <c r="C233" s="283" t="s">
        <v>259</v>
      </c>
      <c r="D233" s="291" t="s">
        <v>560</v>
      </c>
      <c r="E233" s="130" t="s">
        <v>55</v>
      </c>
      <c r="F233" s="119">
        <v>343101</v>
      </c>
      <c r="G233" s="119" t="s">
        <v>65</v>
      </c>
      <c r="H233" s="119" t="s">
        <v>1321</v>
      </c>
      <c r="I233" s="131">
        <v>3</v>
      </c>
      <c r="J233" s="141" t="s">
        <v>547</v>
      </c>
      <c r="K233" s="121" t="s">
        <v>41</v>
      </c>
      <c r="L233" s="23"/>
      <c r="M233" s="7"/>
      <c r="N233" s="7"/>
      <c r="O233" s="7"/>
      <c r="P233" s="7"/>
      <c r="Q233" s="7"/>
    </row>
    <row r="234" spans="2:17" customFormat="1">
      <c r="B234" s="5" t="s">
        <v>429</v>
      </c>
      <c r="C234" s="283" t="s">
        <v>259</v>
      </c>
      <c r="D234" s="5" t="s">
        <v>560</v>
      </c>
      <c r="E234" s="283" t="s">
        <v>34</v>
      </c>
      <c r="F234" s="119">
        <v>723103</v>
      </c>
      <c r="G234" s="119" t="s">
        <v>75</v>
      </c>
      <c r="H234" s="119" t="s">
        <v>1414</v>
      </c>
      <c r="I234" s="131">
        <v>6</v>
      </c>
      <c r="J234" s="141" t="s">
        <v>228</v>
      </c>
      <c r="K234" s="122" t="s">
        <v>104</v>
      </c>
      <c r="L234" s="23"/>
      <c r="M234" s="14"/>
      <c r="N234" s="7"/>
      <c r="O234" s="7"/>
      <c r="P234" s="7"/>
      <c r="Q234" s="7"/>
    </row>
    <row r="235" spans="2:17" ht="15" customHeight="1">
      <c r="B235" s="5" t="s">
        <v>430</v>
      </c>
      <c r="C235" s="283" t="s">
        <v>259</v>
      </c>
      <c r="D235" s="119" t="s">
        <v>560</v>
      </c>
      <c r="E235" s="283" t="s">
        <v>57</v>
      </c>
      <c r="F235" s="119">
        <v>751204</v>
      </c>
      <c r="G235" s="119" t="s">
        <v>68</v>
      </c>
      <c r="H235" s="143" t="s">
        <v>1340</v>
      </c>
      <c r="I235" s="131">
        <v>1</v>
      </c>
      <c r="J235" s="280" t="s">
        <v>116</v>
      </c>
      <c r="K235" s="207" t="s">
        <v>942</v>
      </c>
      <c r="L235" s="23"/>
      <c r="M235" s="10"/>
      <c r="N235" s="10"/>
      <c r="O235" s="10"/>
      <c r="P235" s="10"/>
      <c r="Q235" s="281"/>
    </row>
    <row r="236" spans="2:17" customFormat="1" ht="15" customHeight="1">
      <c r="B236" s="5" t="s">
        <v>431</v>
      </c>
      <c r="C236" s="283" t="s">
        <v>259</v>
      </c>
      <c r="D236" s="5" t="s">
        <v>560</v>
      </c>
      <c r="E236" s="130" t="s">
        <v>33</v>
      </c>
      <c r="F236" s="119">
        <v>752205</v>
      </c>
      <c r="G236" s="119" t="s">
        <v>69</v>
      </c>
      <c r="H236" s="119"/>
      <c r="I236" s="131">
        <v>1</v>
      </c>
      <c r="J236" s="141" t="s">
        <v>61</v>
      </c>
      <c r="K236" s="121" t="s">
        <v>851</v>
      </c>
      <c r="L236" s="34"/>
      <c r="M236" s="7"/>
      <c r="N236" s="7"/>
      <c r="O236" s="7"/>
      <c r="P236" s="7"/>
      <c r="Q236" s="7"/>
    </row>
    <row r="237" spans="2:17" customFormat="1" ht="15" customHeight="1">
      <c r="B237" s="5" t="s">
        <v>432</v>
      </c>
      <c r="C237" s="283" t="s">
        <v>259</v>
      </c>
      <c r="D237" s="5" t="s">
        <v>560</v>
      </c>
      <c r="E237" s="130" t="s">
        <v>263</v>
      </c>
      <c r="F237" s="119">
        <v>742117</v>
      </c>
      <c r="G237" s="119" t="s">
        <v>221</v>
      </c>
      <c r="H237" s="277" t="s">
        <v>1408</v>
      </c>
      <c r="I237" s="131">
        <v>1</v>
      </c>
      <c r="J237" s="141" t="s">
        <v>61</v>
      </c>
      <c r="K237" s="121" t="s">
        <v>851</v>
      </c>
      <c r="L237" s="23"/>
      <c r="M237" s="7"/>
      <c r="N237" s="7"/>
      <c r="O237" s="7"/>
      <c r="P237" s="7"/>
      <c r="Q237" s="7"/>
    </row>
    <row r="238" spans="2:17" customFormat="1" ht="15" customHeight="1">
      <c r="B238" s="5" t="s">
        <v>433</v>
      </c>
      <c r="C238" s="283" t="s">
        <v>264</v>
      </c>
      <c r="D238" s="5" t="s">
        <v>265</v>
      </c>
      <c r="E238" s="130" t="s">
        <v>1435</v>
      </c>
      <c r="F238" s="119">
        <v>713203</v>
      </c>
      <c r="G238" s="119" t="s">
        <v>66</v>
      </c>
      <c r="H238" s="119"/>
      <c r="I238" s="131">
        <v>2</v>
      </c>
      <c r="J238" s="141" t="s">
        <v>61</v>
      </c>
      <c r="K238" s="121" t="s">
        <v>851</v>
      </c>
      <c r="L238" s="27"/>
      <c r="M238" s="7"/>
      <c r="N238" s="7"/>
      <c r="O238" s="7"/>
      <c r="P238" s="7"/>
      <c r="Q238" s="7"/>
    </row>
    <row r="239" spans="2:17" customFormat="1" ht="15" customHeight="1">
      <c r="B239" s="5" t="s">
        <v>434</v>
      </c>
      <c r="C239" s="283" t="s">
        <v>264</v>
      </c>
      <c r="D239" s="5" t="s">
        <v>265</v>
      </c>
      <c r="E239" s="283" t="s">
        <v>34</v>
      </c>
      <c r="F239" s="119">
        <v>723103</v>
      </c>
      <c r="G239" s="119" t="s">
        <v>75</v>
      </c>
      <c r="H239" s="295" t="s">
        <v>1421</v>
      </c>
      <c r="I239" s="131">
        <v>2</v>
      </c>
      <c r="J239" s="141" t="s">
        <v>109</v>
      </c>
      <c r="K239" s="122" t="s">
        <v>237</v>
      </c>
      <c r="L239" s="25"/>
      <c r="M239" s="7"/>
      <c r="N239" s="7"/>
      <c r="O239" s="7"/>
      <c r="P239" s="7"/>
      <c r="Q239" s="7"/>
    </row>
    <row r="240" spans="2:17" customFormat="1" ht="15" customHeight="1">
      <c r="B240" s="5" t="s">
        <v>435</v>
      </c>
      <c r="C240" s="283" t="s">
        <v>264</v>
      </c>
      <c r="D240" s="5" t="s">
        <v>265</v>
      </c>
      <c r="E240" s="130" t="s">
        <v>33</v>
      </c>
      <c r="F240" s="119">
        <v>752205</v>
      </c>
      <c r="G240" s="119" t="s">
        <v>69</v>
      </c>
      <c r="H240" s="295" t="s">
        <v>1427</v>
      </c>
      <c r="I240" s="131">
        <v>2</v>
      </c>
      <c r="J240" s="141" t="s">
        <v>109</v>
      </c>
      <c r="K240" s="122" t="s">
        <v>237</v>
      </c>
      <c r="L240" s="27"/>
      <c r="M240" s="7"/>
      <c r="N240" s="7"/>
      <c r="O240" s="7"/>
      <c r="P240" s="7"/>
      <c r="Q240" s="7"/>
    </row>
    <row r="241" spans="2:17" ht="30">
      <c r="B241" s="5" t="s">
        <v>436</v>
      </c>
      <c r="C241" s="283" t="s">
        <v>264</v>
      </c>
      <c r="D241" s="119" t="s">
        <v>265</v>
      </c>
      <c r="E241" s="283" t="s">
        <v>45</v>
      </c>
      <c r="F241" s="119">
        <v>522301</v>
      </c>
      <c r="G241" s="119" t="s">
        <v>43</v>
      </c>
      <c r="H241" s="306" t="s">
        <v>2375</v>
      </c>
      <c r="I241" s="131">
        <v>2</v>
      </c>
      <c r="J241" s="280" t="s">
        <v>109</v>
      </c>
      <c r="K241" s="207" t="s">
        <v>237</v>
      </c>
      <c r="L241" s="27"/>
      <c r="M241" s="7"/>
      <c r="N241" s="7"/>
      <c r="O241" s="7"/>
      <c r="P241" s="7"/>
      <c r="Q241" s="7"/>
    </row>
    <row r="242" spans="2:17" customFormat="1" ht="15" customHeight="1">
      <c r="B242" s="5" t="s">
        <v>437</v>
      </c>
      <c r="C242" s="283" t="s">
        <v>264</v>
      </c>
      <c r="D242" s="5" t="s">
        <v>265</v>
      </c>
      <c r="E242" s="207" t="s">
        <v>44</v>
      </c>
      <c r="F242" s="119">
        <v>512001</v>
      </c>
      <c r="G242" s="6" t="s">
        <v>81</v>
      </c>
      <c r="H242" s="295" t="s">
        <v>1343</v>
      </c>
      <c r="I242" s="131">
        <v>2</v>
      </c>
      <c r="J242" s="141" t="s">
        <v>109</v>
      </c>
      <c r="K242" s="122" t="s">
        <v>237</v>
      </c>
      <c r="L242" s="27"/>
      <c r="M242" s="7"/>
      <c r="N242" s="7"/>
      <c r="O242" s="7"/>
      <c r="P242" s="7"/>
      <c r="Q242" s="7"/>
    </row>
    <row r="243" spans="2:17" ht="75" customHeight="1">
      <c r="B243" s="5" t="s">
        <v>438</v>
      </c>
      <c r="C243" s="283" t="s">
        <v>266</v>
      </c>
      <c r="D243" s="119" t="s">
        <v>253</v>
      </c>
      <c r="E243" s="283" t="s">
        <v>36</v>
      </c>
      <c r="F243" s="119">
        <v>514101</v>
      </c>
      <c r="G243" s="119" t="s">
        <v>77</v>
      </c>
      <c r="H243" s="309" t="s">
        <v>2292</v>
      </c>
      <c r="I243" s="131">
        <v>11</v>
      </c>
      <c r="J243" s="280" t="s">
        <v>116</v>
      </c>
      <c r="K243" s="207" t="s">
        <v>942</v>
      </c>
      <c r="L243" s="27"/>
      <c r="M243" s="10"/>
      <c r="N243" s="10"/>
      <c r="O243" s="10"/>
      <c r="P243" s="10"/>
      <c r="Q243" s="281"/>
    </row>
    <row r="244" spans="2:17" ht="45" customHeight="1">
      <c r="B244" s="5" t="s">
        <v>439</v>
      </c>
      <c r="C244" s="283" t="s">
        <v>266</v>
      </c>
      <c r="D244" s="119" t="s">
        <v>253</v>
      </c>
      <c r="E244" s="207" t="s">
        <v>44</v>
      </c>
      <c r="F244" s="119">
        <v>512001</v>
      </c>
      <c r="G244" s="6" t="s">
        <v>81</v>
      </c>
      <c r="H244" s="307" t="s">
        <v>2293</v>
      </c>
      <c r="I244" s="131">
        <v>11</v>
      </c>
      <c r="J244" s="280" t="s">
        <v>116</v>
      </c>
      <c r="K244" s="207" t="s">
        <v>942</v>
      </c>
      <c r="L244" s="27"/>
      <c r="M244" s="10"/>
      <c r="N244" s="10"/>
      <c r="O244" s="10"/>
      <c r="P244" s="10"/>
      <c r="Q244" s="281"/>
    </row>
    <row r="245" spans="2:17" customFormat="1" ht="15" customHeight="1">
      <c r="B245" s="5" t="s">
        <v>440</v>
      </c>
      <c r="C245" s="283" t="s">
        <v>266</v>
      </c>
      <c r="D245" s="5" t="s">
        <v>253</v>
      </c>
      <c r="E245" s="130" t="s">
        <v>38</v>
      </c>
      <c r="F245" s="119">
        <v>741103</v>
      </c>
      <c r="G245" s="119" t="s">
        <v>54</v>
      </c>
      <c r="H245" s="119" t="s">
        <v>1350</v>
      </c>
      <c r="I245" s="145">
        <v>1</v>
      </c>
      <c r="J245" s="141" t="s">
        <v>59</v>
      </c>
      <c r="K245" s="122" t="s">
        <v>105</v>
      </c>
      <c r="L245" s="30"/>
      <c r="M245" s="7"/>
      <c r="N245" s="7"/>
      <c r="O245" s="7"/>
      <c r="P245" s="7"/>
      <c r="Q245" s="7"/>
    </row>
    <row r="246" spans="2:17" customFormat="1" ht="15" customHeight="1">
      <c r="B246" s="5" t="s">
        <v>441</v>
      </c>
      <c r="C246" s="283" t="s">
        <v>266</v>
      </c>
      <c r="D246" s="5" t="s">
        <v>253</v>
      </c>
      <c r="E246" s="130" t="s">
        <v>46</v>
      </c>
      <c r="F246" s="119">
        <v>741201</v>
      </c>
      <c r="G246" s="119" t="s">
        <v>182</v>
      </c>
      <c r="H246" s="119" t="s">
        <v>1344</v>
      </c>
      <c r="I246" s="131">
        <v>2</v>
      </c>
      <c r="J246" s="141" t="s">
        <v>61</v>
      </c>
      <c r="K246" s="121" t="s">
        <v>851</v>
      </c>
      <c r="L246" s="27"/>
      <c r="M246" s="7"/>
      <c r="N246" s="7"/>
      <c r="O246" s="7"/>
      <c r="P246" s="7"/>
      <c r="Q246" s="7"/>
    </row>
    <row r="247" spans="2:17" customFormat="1" ht="15" customHeight="1">
      <c r="B247" s="5" t="s">
        <v>442</v>
      </c>
      <c r="C247" s="283" t="s">
        <v>266</v>
      </c>
      <c r="D247" s="5" t="s">
        <v>253</v>
      </c>
      <c r="E247" s="221" t="s">
        <v>198</v>
      </c>
      <c r="F247" s="119">
        <v>712618</v>
      </c>
      <c r="G247" s="119" t="s">
        <v>86</v>
      </c>
      <c r="H247" s="119" t="s">
        <v>1347</v>
      </c>
      <c r="I247" s="145">
        <v>2</v>
      </c>
      <c r="J247" s="141" t="s">
        <v>59</v>
      </c>
      <c r="K247" s="122" t="s">
        <v>105</v>
      </c>
      <c r="L247" s="24"/>
      <c r="M247" s="7"/>
      <c r="N247" s="7"/>
      <c r="O247" s="7"/>
      <c r="P247" s="7"/>
      <c r="Q247" s="7"/>
    </row>
    <row r="248" spans="2:17" customFormat="1" ht="15" customHeight="1">
      <c r="B248" s="5" t="s">
        <v>443</v>
      </c>
      <c r="C248" s="283" t="s">
        <v>266</v>
      </c>
      <c r="D248" s="5" t="s">
        <v>253</v>
      </c>
      <c r="E248" s="130" t="s">
        <v>268</v>
      </c>
      <c r="F248" s="119">
        <v>751108</v>
      </c>
      <c r="G248" s="119" t="s">
        <v>781</v>
      </c>
      <c r="H248" s="119"/>
      <c r="I248" s="131">
        <v>1</v>
      </c>
      <c r="J248" s="141" t="s">
        <v>61</v>
      </c>
      <c r="K248" s="121" t="s">
        <v>851</v>
      </c>
      <c r="L248" s="27"/>
      <c r="M248" s="7"/>
      <c r="N248" s="7"/>
      <c r="O248" s="7"/>
      <c r="P248" s="7"/>
      <c r="Q248" s="7"/>
    </row>
    <row r="249" spans="2:17" ht="30" customHeight="1">
      <c r="B249" s="5" t="s">
        <v>444</v>
      </c>
      <c r="C249" s="283" t="s">
        <v>266</v>
      </c>
      <c r="D249" s="119" t="s">
        <v>253</v>
      </c>
      <c r="E249" s="283" t="s">
        <v>37</v>
      </c>
      <c r="F249" s="119">
        <v>751201</v>
      </c>
      <c r="G249" s="119" t="s">
        <v>183</v>
      </c>
      <c r="H249" s="309" t="s">
        <v>1431</v>
      </c>
      <c r="I249" s="131">
        <v>5</v>
      </c>
      <c r="J249" s="280" t="s">
        <v>116</v>
      </c>
      <c r="K249" s="207" t="s">
        <v>942</v>
      </c>
      <c r="L249" s="27"/>
      <c r="M249" s="10"/>
      <c r="N249" s="10"/>
      <c r="O249" s="10"/>
      <c r="P249" s="10"/>
      <c r="Q249" s="281"/>
    </row>
    <row r="250" spans="2:17" customFormat="1" ht="15" customHeight="1">
      <c r="B250" s="5" t="s">
        <v>445</v>
      </c>
      <c r="C250" s="283" t="s">
        <v>266</v>
      </c>
      <c r="D250" s="291" t="s">
        <v>253</v>
      </c>
      <c r="E250" s="221" t="s">
        <v>552</v>
      </c>
      <c r="F250" s="119">
        <v>432106</v>
      </c>
      <c r="G250" s="119" t="s">
        <v>281</v>
      </c>
      <c r="H250" s="119" t="s">
        <v>1321</v>
      </c>
      <c r="I250" s="131">
        <v>1</v>
      </c>
      <c r="J250" s="141" t="s">
        <v>547</v>
      </c>
      <c r="K250" s="121" t="s">
        <v>41</v>
      </c>
      <c r="L250" s="27"/>
      <c r="M250" s="7"/>
      <c r="N250" s="7"/>
      <c r="O250" s="7"/>
      <c r="P250" s="7"/>
      <c r="Q250" s="7"/>
    </row>
    <row r="251" spans="2:17" customFormat="1" ht="15" customHeight="1">
      <c r="B251" s="5" t="s">
        <v>446</v>
      </c>
      <c r="C251" s="283" t="s">
        <v>266</v>
      </c>
      <c r="D251" s="5" t="s">
        <v>253</v>
      </c>
      <c r="E251" s="130" t="s">
        <v>33</v>
      </c>
      <c r="F251" s="119">
        <v>752205</v>
      </c>
      <c r="G251" s="119" t="s">
        <v>69</v>
      </c>
      <c r="H251" s="119" t="s">
        <v>1343</v>
      </c>
      <c r="I251" s="145">
        <v>1</v>
      </c>
      <c r="J251" s="141" t="s">
        <v>59</v>
      </c>
      <c r="K251" s="122" t="s">
        <v>105</v>
      </c>
      <c r="L251" s="24"/>
      <c r="M251" s="7"/>
      <c r="N251" s="7"/>
      <c r="O251" s="7"/>
      <c r="P251" s="7"/>
      <c r="Q251" s="7"/>
    </row>
    <row r="252" spans="2:17" customFormat="1" ht="15" customHeight="1">
      <c r="B252" s="5" t="s">
        <v>447</v>
      </c>
      <c r="C252" s="283" t="s">
        <v>266</v>
      </c>
      <c r="D252" s="5" t="s">
        <v>253</v>
      </c>
      <c r="E252" s="130" t="s">
        <v>56</v>
      </c>
      <c r="F252" s="119">
        <v>712905</v>
      </c>
      <c r="G252" s="119" t="s">
        <v>67</v>
      </c>
      <c r="H252" s="119" t="s">
        <v>2246</v>
      </c>
      <c r="I252" s="131">
        <v>2</v>
      </c>
      <c r="J252" s="141" t="s">
        <v>61</v>
      </c>
      <c r="K252" s="121" t="s">
        <v>851</v>
      </c>
      <c r="L252" s="27"/>
      <c r="M252" s="7"/>
      <c r="N252" s="7"/>
      <c r="O252" s="7"/>
      <c r="P252" s="7"/>
      <c r="Q252" s="7"/>
    </row>
    <row r="253" spans="2:17" ht="45" customHeight="1">
      <c r="B253" s="5" t="s">
        <v>448</v>
      </c>
      <c r="C253" s="283" t="s">
        <v>271</v>
      </c>
      <c r="D253" s="119" t="s">
        <v>272</v>
      </c>
      <c r="E253" s="283" t="s">
        <v>45</v>
      </c>
      <c r="F253" s="119">
        <v>522301</v>
      </c>
      <c r="G253" s="119" t="s">
        <v>43</v>
      </c>
      <c r="H253" s="309" t="s">
        <v>1418</v>
      </c>
      <c r="I253" s="131">
        <v>11</v>
      </c>
      <c r="J253" s="280" t="s">
        <v>116</v>
      </c>
      <c r="K253" s="207" t="s">
        <v>942</v>
      </c>
      <c r="L253" s="27"/>
      <c r="M253" s="10"/>
      <c r="N253" s="10"/>
      <c r="O253" s="10"/>
      <c r="P253" s="10"/>
      <c r="Q253" s="281"/>
    </row>
    <row r="254" spans="2:17" ht="90" customHeight="1">
      <c r="B254" s="5" t="s">
        <v>449</v>
      </c>
      <c r="C254" s="283" t="s">
        <v>271</v>
      </c>
      <c r="D254" s="119" t="s">
        <v>272</v>
      </c>
      <c r="E254" s="283" t="s">
        <v>36</v>
      </c>
      <c r="F254" s="119">
        <v>514101</v>
      </c>
      <c r="G254" s="119" t="s">
        <v>77</v>
      </c>
      <c r="H254" s="309" t="s">
        <v>1429</v>
      </c>
      <c r="I254" s="131">
        <v>26</v>
      </c>
      <c r="J254" s="280" t="s">
        <v>116</v>
      </c>
      <c r="K254" s="207" t="s">
        <v>942</v>
      </c>
      <c r="L254" s="27"/>
      <c r="M254" s="10"/>
      <c r="N254" s="10"/>
      <c r="O254" s="10"/>
      <c r="P254" s="10"/>
      <c r="Q254" s="281"/>
    </row>
    <row r="255" spans="2:17" ht="45" customHeight="1">
      <c r="B255" s="5" t="s">
        <v>450</v>
      </c>
      <c r="C255" s="283" t="s">
        <v>271</v>
      </c>
      <c r="D255" s="119" t="s">
        <v>272</v>
      </c>
      <c r="E255" s="283" t="s">
        <v>37</v>
      </c>
      <c r="F255" s="119">
        <v>751201</v>
      </c>
      <c r="G255" s="119" t="s">
        <v>183</v>
      </c>
      <c r="H255" s="132" t="s">
        <v>1431</v>
      </c>
      <c r="I255" s="131">
        <v>8</v>
      </c>
      <c r="J255" s="280" t="s">
        <v>116</v>
      </c>
      <c r="K255" s="207" t="s">
        <v>942</v>
      </c>
      <c r="L255" s="27"/>
      <c r="M255" s="10"/>
      <c r="N255" s="10"/>
      <c r="O255" s="10"/>
      <c r="P255" s="10"/>
      <c r="Q255" s="281"/>
    </row>
    <row r="256" spans="2:17" ht="15" customHeight="1">
      <c r="B256" s="5" t="s">
        <v>451</v>
      </c>
      <c r="C256" s="283" t="s">
        <v>271</v>
      </c>
      <c r="D256" s="119" t="s">
        <v>272</v>
      </c>
      <c r="E256" s="207" t="s">
        <v>44</v>
      </c>
      <c r="F256" s="119">
        <v>512001</v>
      </c>
      <c r="G256" s="6" t="s">
        <v>81</v>
      </c>
      <c r="H256" s="143" t="s">
        <v>1340</v>
      </c>
      <c r="I256" s="131">
        <v>3</v>
      </c>
      <c r="J256" s="280" t="s">
        <v>116</v>
      </c>
      <c r="K256" s="207" t="s">
        <v>942</v>
      </c>
      <c r="L256" s="27"/>
      <c r="M256" s="10"/>
      <c r="N256" s="10"/>
      <c r="O256" s="10"/>
      <c r="P256" s="10"/>
      <c r="Q256" s="281"/>
    </row>
    <row r="257" spans="2:17" customFormat="1" ht="15" customHeight="1">
      <c r="B257" s="5" t="s">
        <v>452</v>
      </c>
      <c r="C257" s="283" t="s">
        <v>271</v>
      </c>
      <c r="D257" s="5" t="s">
        <v>272</v>
      </c>
      <c r="E257" s="283" t="s">
        <v>34</v>
      </c>
      <c r="F257" s="119">
        <v>723103</v>
      </c>
      <c r="G257" s="119" t="s">
        <v>75</v>
      </c>
      <c r="H257" s="119" t="s">
        <v>1341</v>
      </c>
      <c r="I257" s="131">
        <v>5</v>
      </c>
      <c r="J257" s="161" t="s">
        <v>566</v>
      </c>
      <c r="K257" s="122" t="s">
        <v>579</v>
      </c>
      <c r="L257" s="27"/>
      <c r="M257" s="7"/>
      <c r="N257" s="7"/>
      <c r="O257" s="7"/>
      <c r="P257" s="65"/>
      <c r="Q257" s="7"/>
    </row>
    <row r="258" spans="2:17" customFormat="1" ht="15" customHeight="1">
      <c r="B258" s="5" t="s">
        <v>453</v>
      </c>
      <c r="C258" s="283" t="s">
        <v>271</v>
      </c>
      <c r="D258" s="5" t="s">
        <v>272</v>
      </c>
      <c r="E258" s="148" t="s">
        <v>273</v>
      </c>
      <c r="F258" s="119">
        <v>613003</v>
      </c>
      <c r="G258" s="119" t="s">
        <v>542</v>
      </c>
      <c r="H258" s="119" t="s">
        <v>1349</v>
      </c>
      <c r="I258" s="131">
        <v>1</v>
      </c>
      <c r="J258" s="141" t="s">
        <v>61</v>
      </c>
      <c r="K258" s="121" t="s">
        <v>851</v>
      </c>
      <c r="L258" s="27"/>
      <c r="M258" s="7"/>
      <c r="N258" s="7"/>
      <c r="O258" s="7"/>
      <c r="P258" s="7"/>
      <c r="Q258" s="7"/>
    </row>
    <row r="259" spans="2:17" customFormat="1" ht="15" customHeight="1">
      <c r="B259" s="5" t="s">
        <v>454</v>
      </c>
      <c r="C259" s="283" t="s">
        <v>271</v>
      </c>
      <c r="D259" s="5" t="s">
        <v>272</v>
      </c>
      <c r="E259" s="130" t="s">
        <v>33</v>
      </c>
      <c r="F259" s="119">
        <v>752205</v>
      </c>
      <c r="G259" s="119" t="s">
        <v>69</v>
      </c>
      <c r="H259" s="119"/>
      <c r="I259" s="131">
        <v>2</v>
      </c>
      <c r="J259" s="141" t="s">
        <v>61</v>
      </c>
      <c r="K259" s="121" t="s">
        <v>851</v>
      </c>
      <c r="L259" s="27"/>
      <c r="M259" s="7"/>
      <c r="N259" s="7"/>
      <c r="O259" s="7"/>
      <c r="P259" s="7"/>
      <c r="Q259" s="7"/>
    </row>
    <row r="260" spans="2:17" customFormat="1" ht="15" customHeight="1">
      <c r="B260" s="5" t="s">
        <v>455</v>
      </c>
      <c r="C260" s="283" t="s">
        <v>271</v>
      </c>
      <c r="D260" s="5" t="s">
        <v>272</v>
      </c>
      <c r="E260" s="130" t="s">
        <v>206</v>
      </c>
      <c r="F260" s="119">
        <v>722204</v>
      </c>
      <c r="G260" s="119" t="s">
        <v>185</v>
      </c>
      <c r="H260" s="119" t="s">
        <v>1344</v>
      </c>
      <c r="I260" s="131">
        <v>1</v>
      </c>
      <c r="J260" s="141" t="s">
        <v>61</v>
      </c>
      <c r="K260" s="121" t="s">
        <v>851</v>
      </c>
      <c r="L260" s="27"/>
      <c r="M260" s="7"/>
      <c r="N260" s="7"/>
      <c r="O260" s="7"/>
      <c r="P260" s="7"/>
      <c r="Q260" s="7"/>
    </row>
    <row r="261" spans="2:17" ht="30" customHeight="1">
      <c r="B261" s="5" t="s">
        <v>456</v>
      </c>
      <c r="C261" s="283" t="s">
        <v>274</v>
      </c>
      <c r="D261" s="119" t="s">
        <v>275</v>
      </c>
      <c r="E261" s="283" t="s">
        <v>45</v>
      </c>
      <c r="F261" s="119">
        <v>522301</v>
      </c>
      <c r="G261" s="119" t="s">
        <v>43</v>
      </c>
      <c r="H261" s="160" t="s">
        <v>1417</v>
      </c>
      <c r="I261" s="131">
        <v>4</v>
      </c>
      <c r="J261" s="280" t="s">
        <v>116</v>
      </c>
      <c r="K261" s="207" t="s">
        <v>942</v>
      </c>
      <c r="L261" s="20"/>
      <c r="M261" s="10"/>
      <c r="N261" s="10"/>
      <c r="O261" s="10"/>
      <c r="P261" s="10"/>
      <c r="Q261" s="281"/>
    </row>
    <row r="262" spans="2:17" ht="45" customHeight="1">
      <c r="B262" s="5" t="s">
        <v>457</v>
      </c>
      <c r="C262" s="283" t="s">
        <v>274</v>
      </c>
      <c r="D262" s="119" t="s">
        <v>275</v>
      </c>
      <c r="E262" s="283" t="s">
        <v>36</v>
      </c>
      <c r="F262" s="119">
        <v>514101</v>
      </c>
      <c r="G262" s="119" t="s">
        <v>77</v>
      </c>
      <c r="H262" s="160" t="s">
        <v>1418</v>
      </c>
      <c r="I262" s="131">
        <v>7</v>
      </c>
      <c r="J262" s="280" t="s">
        <v>116</v>
      </c>
      <c r="K262" s="207" t="s">
        <v>942</v>
      </c>
      <c r="L262" s="20"/>
      <c r="M262" s="10"/>
      <c r="N262" s="10"/>
      <c r="O262" s="10"/>
      <c r="P262" s="10"/>
      <c r="Q262" s="281"/>
    </row>
    <row r="263" spans="2:17" ht="15" customHeight="1">
      <c r="B263" s="5" t="s">
        <v>458</v>
      </c>
      <c r="C263" s="283" t="s">
        <v>274</v>
      </c>
      <c r="D263" s="119" t="s">
        <v>275</v>
      </c>
      <c r="E263" s="283" t="s">
        <v>57</v>
      </c>
      <c r="F263" s="119">
        <v>751204</v>
      </c>
      <c r="G263" s="119" t="s">
        <v>68</v>
      </c>
      <c r="H263" s="143" t="s">
        <v>1340</v>
      </c>
      <c r="I263" s="131">
        <v>2</v>
      </c>
      <c r="J263" s="280" t="s">
        <v>116</v>
      </c>
      <c r="K263" s="207" t="s">
        <v>942</v>
      </c>
      <c r="L263" s="23"/>
      <c r="M263" s="10"/>
      <c r="N263" s="10"/>
      <c r="O263" s="10"/>
      <c r="P263" s="10"/>
      <c r="Q263" s="281"/>
    </row>
    <row r="264" spans="2:17" ht="15" customHeight="1">
      <c r="B264" s="5" t="s">
        <v>459</v>
      </c>
      <c r="C264" s="283" t="s">
        <v>274</v>
      </c>
      <c r="D264" s="119" t="s">
        <v>275</v>
      </c>
      <c r="E264" s="207" t="s">
        <v>44</v>
      </c>
      <c r="F264" s="119">
        <v>512001</v>
      </c>
      <c r="G264" s="6" t="s">
        <v>81</v>
      </c>
      <c r="H264" s="143" t="s">
        <v>1407</v>
      </c>
      <c r="I264" s="131">
        <v>1</v>
      </c>
      <c r="J264" s="280" t="s">
        <v>116</v>
      </c>
      <c r="K264" s="207" t="s">
        <v>942</v>
      </c>
      <c r="L264" s="23"/>
      <c r="M264" s="10"/>
      <c r="N264" s="10"/>
      <c r="O264" s="10"/>
      <c r="P264" s="10"/>
      <c r="Q264" s="281"/>
    </row>
    <row r="265" spans="2:17" ht="15" customHeight="1">
      <c r="B265" s="5" t="s">
        <v>460</v>
      </c>
      <c r="C265" s="283" t="s">
        <v>274</v>
      </c>
      <c r="D265" s="119" t="s">
        <v>275</v>
      </c>
      <c r="E265" s="283" t="s">
        <v>37</v>
      </c>
      <c r="F265" s="119">
        <v>751201</v>
      </c>
      <c r="G265" s="119" t="s">
        <v>183</v>
      </c>
      <c r="H265" s="143" t="s">
        <v>1340</v>
      </c>
      <c r="I265" s="131">
        <v>3</v>
      </c>
      <c r="J265" s="280" t="s">
        <v>116</v>
      </c>
      <c r="K265" s="207" t="s">
        <v>942</v>
      </c>
      <c r="L265" s="23"/>
      <c r="M265" s="10"/>
      <c r="N265" s="10"/>
      <c r="O265" s="10"/>
      <c r="P265" s="10"/>
      <c r="Q265" s="281"/>
    </row>
    <row r="266" spans="2:17" customFormat="1" ht="15" customHeight="1">
      <c r="B266" s="5" t="s">
        <v>461</v>
      </c>
      <c r="C266" s="283" t="s">
        <v>274</v>
      </c>
      <c r="D266" s="5" t="s">
        <v>275</v>
      </c>
      <c r="E266" s="130" t="s">
        <v>52</v>
      </c>
      <c r="F266" s="119">
        <v>721306</v>
      </c>
      <c r="G266" s="119" t="s">
        <v>63</v>
      </c>
      <c r="H266" s="119" t="s">
        <v>2394</v>
      </c>
      <c r="I266" s="145">
        <v>5</v>
      </c>
      <c r="J266" s="141" t="s">
        <v>59</v>
      </c>
      <c r="K266" s="122" t="s">
        <v>105</v>
      </c>
      <c r="L266" s="34"/>
      <c r="M266" s="7"/>
      <c r="N266" s="7"/>
      <c r="O266" s="7"/>
      <c r="P266" s="7"/>
      <c r="Q266" s="7"/>
    </row>
    <row r="267" spans="2:17" customFormat="1" ht="15" customHeight="1">
      <c r="B267" s="5" t="s">
        <v>462</v>
      </c>
      <c r="C267" s="283" t="s">
        <v>274</v>
      </c>
      <c r="D267" s="5" t="s">
        <v>275</v>
      </c>
      <c r="E267" s="130" t="s">
        <v>38</v>
      </c>
      <c r="F267" s="119">
        <v>741108</v>
      </c>
      <c r="G267" s="119" t="s">
        <v>54</v>
      </c>
      <c r="H267" s="119" t="s">
        <v>1350</v>
      </c>
      <c r="I267" s="145">
        <v>1</v>
      </c>
      <c r="J267" s="141" t="s">
        <v>59</v>
      </c>
      <c r="K267" s="122" t="s">
        <v>105</v>
      </c>
      <c r="L267" s="34"/>
      <c r="M267" s="7"/>
      <c r="N267" s="7"/>
      <c r="O267" s="7"/>
      <c r="P267" s="7"/>
      <c r="Q267" s="7"/>
    </row>
    <row r="268" spans="2:17" customFormat="1" ht="15" customHeight="1">
      <c r="B268" s="5" t="s">
        <v>463</v>
      </c>
      <c r="C268" s="283" t="s">
        <v>276</v>
      </c>
      <c r="D268" s="5" t="s">
        <v>277</v>
      </c>
      <c r="E268" s="130" t="s">
        <v>52</v>
      </c>
      <c r="F268" s="119">
        <v>721306</v>
      </c>
      <c r="G268" s="119" t="s">
        <v>63</v>
      </c>
      <c r="H268" s="119" t="s">
        <v>2394</v>
      </c>
      <c r="I268" s="385">
        <v>1</v>
      </c>
      <c r="J268" s="141" t="s">
        <v>59</v>
      </c>
      <c r="K268" s="122" t="s">
        <v>105</v>
      </c>
      <c r="L268" s="24"/>
      <c r="M268" s="7"/>
      <c r="N268" s="7"/>
      <c r="O268" s="7"/>
      <c r="P268" s="7"/>
      <c r="Q268" s="7"/>
    </row>
    <row r="269" spans="2:17" customFormat="1" ht="19.5" customHeight="1">
      <c r="B269" s="5" t="s">
        <v>464</v>
      </c>
      <c r="C269" s="283" t="s">
        <v>276</v>
      </c>
      <c r="D269" s="5" t="s">
        <v>277</v>
      </c>
      <c r="E269" s="130" t="s">
        <v>37</v>
      </c>
      <c r="F269" s="119">
        <v>751201</v>
      </c>
      <c r="G269" s="119" t="s">
        <v>183</v>
      </c>
      <c r="H269" s="119" t="s">
        <v>1324</v>
      </c>
      <c r="I269" s="6">
        <v>3</v>
      </c>
      <c r="J269" s="141" t="s">
        <v>547</v>
      </c>
      <c r="K269" s="121" t="s">
        <v>41</v>
      </c>
      <c r="L269" s="30"/>
      <c r="M269" s="7"/>
      <c r="N269" s="7"/>
      <c r="O269" s="7"/>
      <c r="P269" s="7"/>
      <c r="Q269" s="7"/>
    </row>
    <row r="270" spans="2:17" customFormat="1" ht="15" customHeight="1">
      <c r="B270" s="5" t="s">
        <v>465</v>
      </c>
      <c r="C270" s="283" t="s">
        <v>276</v>
      </c>
      <c r="D270" s="5" t="s">
        <v>277</v>
      </c>
      <c r="E270" s="130" t="s">
        <v>38</v>
      </c>
      <c r="F270" s="119">
        <v>741103</v>
      </c>
      <c r="G270" s="119" t="s">
        <v>54</v>
      </c>
      <c r="H270" s="119" t="s">
        <v>1350</v>
      </c>
      <c r="I270" s="385">
        <v>1</v>
      </c>
      <c r="J270" s="141" t="s">
        <v>59</v>
      </c>
      <c r="K270" s="122" t="s">
        <v>105</v>
      </c>
      <c r="L270" s="24"/>
      <c r="M270" s="7"/>
      <c r="N270" s="7"/>
      <c r="O270" s="7"/>
      <c r="P270" s="7"/>
      <c r="Q270" s="7"/>
    </row>
    <row r="271" spans="2:17" customFormat="1" ht="15" customHeight="1">
      <c r="B271" s="5" t="s">
        <v>466</v>
      </c>
      <c r="C271" s="283" t="s">
        <v>276</v>
      </c>
      <c r="D271" s="5" t="s">
        <v>277</v>
      </c>
      <c r="E271" s="130" t="s">
        <v>38</v>
      </c>
      <c r="F271" s="119">
        <v>741103</v>
      </c>
      <c r="G271" s="119" t="s">
        <v>54</v>
      </c>
      <c r="H271" s="119" t="s">
        <v>1350</v>
      </c>
      <c r="I271" s="385">
        <v>1</v>
      </c>
      <c r="J271" s="141" t="s">
        <v>59</v>
      </c>
      <c r="K271" s="122" t="s">
        <v>105</v>
      </c>
      <c r="L271" s="24"/>
      <c r="M271" s="7"/>
      <c r="N271" s="7"/>
      <c r="O271" s="7"/>
      <c r="P271" s="7"/>
      <c r="Q271" s="7"/>
    </row>
    <row r="272" spans="2:17" customFormat="1" ht="15" customHeight="1">
      <c r="B272" s="5" t="s">
        <v>467</v>
      </c>
      <c r="C272" s="283" t="s">
        <v>276</v>
      </c>
      <c r="D272" s="5" t="s">
        <v>277</v>
      </c>
      <c r="E272" s="130" t="s">
        <v>53</v>
      </c>
      <c r="F272" s="119">
        <v>741203</v>
      </c>
      <c r="G272" s="119" t="s">
        <v>64</v>
      </c>
      <c r="H272" s="119" t="s">
        <v>1349</v>
      </c>
      <c r="I272" s="385">
        <v>3</v>
      </c>
      <c r="J272" s="141" t="s">
        <v>59</v>
      </c>
      <c r="K272" s="122" t="s">
        <v>105</v>
      </c>
      <c r="L272" s="24"/>
      <c r="M272" s="7"/>
      <c r="N272" s="7"/>
      <c r="O272" s="7"/>
      <c r="P272" s="7"/>
      <c r="Q272" s="7"/>
    </row>
    <row r="273" spans="2:17" customFormat="1">
      <c r="B273" s="5" t="s">
        <v>468</v>
      </c>
      <c r="C273" s="283" t="s">
        <v>276</v>
      </c>
      <c r="D273" s="5" t="s">
        <v>277</v>
      </c>
      <c r="E273" s="207" t="s">
        <v>44</v>
      </c>
      <c r="F273" s="119">
        <v>512001</v>
      </c>
      <c r="G273" s="6" t="s">
        <v>81</v>
      </c>
      <c r="H273" s="6" t="s">
        <v>2270</v>
      </c>
      <c r="I273" s="6">
        <v>3</v>
      </c>
      <c r="J273" s="141" t="s">
        <v>228</v>
      </c>
      <c r="K273" s="122" t="s">
        <v>104</v>
      </c>
      <c r="L273" s="25"/>
      <c r="M273" s="14"/>
      <c r="N273" s="7"/>
      <c r="O273" s="7"/>
      <c r="P273" s="7"/>
      <c r="Q273" s="7"/>
    </row>
    <row r="274" spans="2:17" customFormat="1" ht="18" customHeight="1">
      <c r="B274" s="5" t="s">
        <v>469</v>
      </c>
      <c r="C274" s="283" t="s">
        <v>276</v>
      </c>
      <c r="D274" s="5" t="s">
        <v>277</v>
      </c>
      <c r="E274" s="130" t="s">
        <v>1435</v>
      </c>
      <c r="F274" s="119">
        <v>713209</v>
      </c>
      <c r="G274" s="119" t="s">
        <v>66</v>
      </c>
      <c r="H274" s="119" t="s">
        <v>2354</v>
      </c>
      <c r="I274" s="6">
        <v>3</v>
      </c>
      <c r="J274" s="141" t="s">
        <v>547</v>
      </c>
      <c r="K274" s="121" t="s">
        <v>41</v>
      </c>
      <c r="L274" s="30"/>
      <c r="M274" s="7"/>
      <c r="N274" s="7"/>
      <c r="O274" s="7"/>
      <c r="P274" s="7"/>
      <c r="Q274" s="7"/>
    </row>
    <row r="275" spans="2:17" customFormat="1" ht="15.75" customHeight="1">
      <c r="B275" s="5" t="s">
        <v>470</v>
      </c>
      <c r="C275" s="283" t="s">
        <v>276</v>
      </c>
      <c r="D275" s="5" t="s">
        <v>277</v>
      </c>
      <c r="E275" s="130" t="s">
        <v>1435</v>
      </c>
      <c r="F275" s="119">
        <v>713209</v>
      </c>
      <c r="G275" s="119" t="s">
        <v>66</v>
      </c>
      <c r="H275" s="119" t="s">
        <v>2354</v>
      </c>
      <c r="I275" s="6">
        <v>2</v>
      </c>
      <c r="J275" s="141" t="s">
        <v>547</v>
      </c>
      <c r="K275" s="121" t="s">
        <v>41</v>
      </c>
      <c r="L275" s="30"/>
      <c r="M275" s="7"/>
      <c r="N275" s="7"/>
      <c r="O275" s="7"/>
      <c r="P275" s="7"/>
      <c r="Q275" s="7"/>
    </row>
    <row r="276" spans="2:17" customFormat="1" ht="15" customHeight="1">
      <c r="B276" s="5" t="s">
        <v>471</v>
      </c>
      <c r="C276" s="283" t="s">
        <v>276</v>
      </c>
      <c r="D276" s="119" t="s">
        <v>277</v>
      </c>
      <c r="E276" s="221" t="s">
        <v>552</v>
      </c>
      <c r="F276" s="119">
        <v>432106</v>
      </c>
      <c r="G276" s="119" t="s">
        <v>281</v>
      </c>
      <c r="H276" s="119" t="s">
        <v>1321</v>
      </c>
      <c r="I276" s="6">
        <v>4</v>
      </c>
      <c r="J276" s="141" t="s">
        <v>547</v>
      </c>
      <c r="K276" s="121" t="s">
        <v>41</v>
      </c>
      <c r="L276" s="25"/>
      <c r="M276" s="7"/>
      <c r="N276" s="7"/>
      <c r="O276" s="7"/>
      <c r="P276" s="7"/>
      <c r="Q276" s="7"/>
    </row>
    <row r="277" spans="2:17" customFormat="1" ht="18" customHeight="1">
      <c r="B277" s="5" t="s">
        <v>472</v>
      </c>
      <c r="C277" s="283" t="s">
        <v>276</v>
      </c>
      <c r="D277" s="291" t="s">
        <v>277</v>
      </c>
      <c r="E277" s="130" t="s">
        <v>533</v>
      </c>
      <c r="F277" s="119">
        <v>723310</v>
      </c>
      <c r="G277" s="119" t="s">
        <v>282</v>
      </c>
      <c r="H277" s="119" t="s">
        <v>1323</v>
      </c>
      <c r="I277" s="6">
        <v>1</v>
      </c>
      <c r="J277" s="141" t="s">
        <v>547</v>
      </c>
      <c r="K277" s="121" t="s">
        <v>41</v>
      </c>
      <c r="L277" s="25"/>
      <c r="M277" s="7"/>
      <c r="N277" s="7"/>
      <c r="O277" s="7"/>
      <c r="P277" s="7"/>
      <c r="Q277" s="7"/>
    </row>
    <row r="278" spans="2:17" customFormat="1" ht="18" customHeight="1">
      <c r="B278" s="5" t="s">
        <v>473</v>
      </c>
      <c r="C278" s="283" t="s">
        <v>276</v>
      </c>
      <c r="D278" s="291" t="s">
        <v>277</v>
      </c>
      <c r="E278" s="337" t="s">
        <v>533</v>
      </c>
      <c r="F278" s="119">
        <v>723310</v>
      </c>
      <c r="G278" s="119" t="s">
        <v>282</v>
      </c>
      <c r="H278" s="119" t="s">
        <v>1323</v>
      </c>
      <c r="I278" s="6">
        <v>3</v>
      </c>
      <c r="J278" s="141" t="s">
        <v>547</v>
      </c>
      <c r="K278" s="121" t="s">
        <v>41</v>
      </c>
      <c r="L278" s="25"/>
      <c r="M278" s="7"/>
      <c r="N278" s="7"/>
      <c r="O278" s="7"/>
      <c r="P278" s="7"/>
      <c r="Q278" s="7"/>
    </row>
    <row r="279" spans="2:17" customFormat="1">
      <c r="B279" s="5" t="s">
        <v>474</v>
      </c>
      <c r="C279" s="283" t="s">
        <v>276</v>
      </c>
      <c r="D279" s="5" t="s">
        <v>277</v>
      </c>
      <c r="E279" s="283" t="s">
        <v>34</v>
      </c>
      <c r="F279" s="119">
        <v>723103</v>
      </c>
      <c r="G279" s="119" t="s">
        <v>75</v>
      </c>
      <c r="H279" s="6" t="s">
        <v>2271</v>
      </c>
      <c r="I279" s="6">
        <v>3</v>
      </c>
      <c r="J279" s="141" t="s">
        <v>228</v>
      </c>
      <c r="K279" s="122" t="s">
        <v>104</v>
      </c>
      <c r="L279" s="25"/>
      <c r="M279" s="14"/>
      <c r="N279" s="7"/>
      <c r="O279" s="7"/>
      <c r="P279" s="7"/>
      <c r="Q279" s="7"/>
    </row>
    <row r="280" spans="2:17" customFormat="1">
      <c r="B280" s="5" t="s">
        <v>475</v>
      </c>
      <c r="C280" s="283" t="s">
        <v>276</v>
      </c>
      <c r="D280" s="5" t="s">
        <v>277</v>
      </c>
      <c r="E280" s="283" t="s">
        <v>34</v>
      </c>
      <c r="F280" s="119">
        <v>723103</v>
      </c>
      <c r="G280" s="119" t="s">
        <v>75</v>
      </c>
      <c r="H280" s="290" t="s">
        <v>2272</v>
      </c>
      <c r="I280" s="6">
        <v>4</v>
      </c>
      <c r="J280" s="141" t="s">
        <v>228</v>
      </c>
      <c r="K280" s="122" t="s">
        <v>104</v>
      </c>
      <c r="L280" s="25"/>
      <c r="M280" s="14"/>
      <c r="N280" s="7"/>
      <c r="O280" s="7"/>
      <c r="P280" s="7"/>
      <c r="Q280" s="7"/>
    </row>
    <row r="281" spans="2:17" customFormat="1" ht="15" customHeight="1">
      <c r="B281" s="5" t="s">
        <v>476</v>
      </c>
      <c r="C281" s="283" t="s">
        <v>276</v>
      </c>
      <c r="D281" s="291" t="s">
        <v>277</v>
      </c>
      <c r="E281" s="130" t="s">
        <v>56</v>
      </c>
      <c r="F281" s="119">
        <v>712905</v>
      </c>
      <c r="G281" s="119" t="s">
        <v>67</v>
      </c>
      <c r="H281" s="119" t="s">
        <v>1320</v>
      </c>
      <c r="I281" s="6">
        <v>2</v>
      </c>
      <c r="J281" s="141" t="s">
        <v>547</v>
      </c>
      <c r="K281" s="121" t="s">
        <v>41</v>
      </c>
      <c r="L281" s="25"/>
      <c r="M281" s="7"/>
      <c r="N281" s="7"/>
      <c r="O281" s="7"/>
      <c r="P281" s="7"/>
      <c r="Q281" s="7"/>
    </row>
    <row r="282" spans="2:17" customFormat="1" ht="15" customHeight="1">
      <c r="B282" s="5" t="s">
        <v>477</v>
      </c>
      <c r="C282" s="283" t="s">
        <v>276</v>
      </c>
      <c r="D282" s="291" t="s">
        <v>277</v>
      </c>
      <c r="E282" s="337" t="s">
        <v>56</v>
      </c>
      <c r="F282" s="119">
        <v>712905</v>
      </c>
      <c r="G282" s="119" t="s">
        <v>67</v>
      </c>
      <c r="H282" s="119" t="s">
        <v>1320</v>
      </c>
      <c r="I282" s="6">
        <v>1</v>
      </c>
      <c r="J282" s="141" t="s">
        <v>547</v>
      </c>
      <c r="K282" s="121" t="s">
        <v>41</v>
      </c>
      <c r="L282" s="25"/>
      <c r="M282" s="7"/>
      <c r="N282" s="7"/>
      <c r="O282" s="7"/>
      <c r="P282" s="7"/>
      <c r="Q282" s="7"/>
    </row>
    <row r="283" spans="2:17" customFormat="1" ht="18" customHeight="1">
      <c r="B283" s="5" t="s">
        <v>478</v>
      </c>
      <c r="C283" s="283" t="s">
        <v>276</v>
      </c>
      <c r="D283" s="5" t="s">
        <v>277</v>
      </c>
      <c r="E283" s="130" t="s">
        <v>57</v>
      </c>
      <c r="F283" s="119">
        <v>751204</v>
      </c>
      <c r="G283" s="119" t="s">
        <v>68</v>
      </c>
      <c r="H283" s="119" t="s">
        <v>1348</v>
      </c>
      <c r="I283" s="371">
        <v>0</v>
      </c>
      <c r="J283" s="141"/>
      <c r="K283" s="221"/>
      <c r="L283" s="30"/>
      <c r="M283" s="7"/>
      <c r="N283" s="7"/>
      <c r="O283" s="7"/>
      <c r="P283" s="7"/>
      <c r="Q283" s="7"/>
    </row>
    <row r="284" spans="2:17" customFormat="1">
      <c r="B284" s="5" t="s">
        <v>479</v>
      </c>
      <c r="C284" s="283" t="s">
        <v>276</v>
      </c>
      <c r="D284" s="5" t="s">
        <v>277</v>
      </c>
      <c r="E284" s="283" t="s">
        <v>45</v>
      </c>
      <c r="F284" s="119">
        <v>522301</v>
      </c>
      <c r="G284" s="119" t="s">
        <v>43</v>
      </c>
      <c r="H284" s="119" t="s">
        <v>1414</v>
      </c>
      <c r="I284" s="6">
        <v>3</v>
      </c>
      <c r="J284" s="141" t="s">
        <v>228</v>
      </c>
      <c r="K284" s="122" t="s">
        <v>104</v>
      </c>
      <c r="L284" s="25"/>
      <c r="M284" s="14"/>
      <c r="N284" s="7"/>
      <c r="O284" s="7"/>
      <c r="P284" s="7"/>
      <c r="Q284" s="7"/>
    </row>
    <row r="285" spans="2:17" customFormat="1">
      <c r="B285" s="5" t="s">
        <v>480</v>
      </c>
      <c r="C285" s="283" t="s">
        <v>276</v>
      </c>
      <c r="D285" s="5" t="s">
        <v>277</v>
      </c>
      <c r="E285" s="338" t="s">
        <v>45</v>
      </c>
      <c r="F285" s="119">
        <v>522301</v>
      </c>
      <c r="G285" s="119" t="s">
        <v>43</v>
      </c>
      <c r="H285" s="119" t="s">
        <v>1344</v>
      </c>
      <c r="I285" s="6">
        <v>10</v>
      </c>
      <c r="J285" s="141" t="s">
        <v>228</v>
      </c>
      <c r="K285" s="122" t="s">
        <v>104</v>
      </c>
      <c r="L285" s="25"/>
      <c r="M285" s="14"/>
      <c r="N285" s="7"/>
      <c r="O285" s="7"/>
      <c r="P285" s="7"/>
      <c r="Q285" s="7"/>
    </row>
    <row r="286" spans="2:17" customFormat="1" ht="15" customHeight="1">
      <c r="B286" s="5" t="s">
        <v>481</v>
      </c>
      <c r="C286" s="283" t="s">
        <v>276</v>
      </c>
      <c r="D286" s="5" t="s">
        <v>277</v>
      </c>
      <c r="E286" s="130" t="s">
        <v>206</v>
      </c>
      <c r="F286" s="119">
        <v>722204</v>
      </c>
      <c r="G286" s="119" t="s">
        <v>185</v>
      </c>
      <c r="H286" s="119" t="s">
        <v>2394</v>
      </c>
      <c r="I286" s="145">
        <v>1</v>
      </c>
      <c r="J286" s="141" t="s">
        <v>59</v>
      </c>
      <c r="K286" s="122" t="s">
        <v>105</v>
      </c>
      <c r="L286" s="24"/>
      <c r="M286" s="7"/>
      <c r="N286" s="7"/>
      <c r="O286" s="7"/>
      <c r="P286" s="7"/>
      <c r="Q286" s="7"/>
    </row>
    <row r="287" spans="2:17" customFormat="1" ht="15" customHeight="1">
      <c r="B287" s="5" t="s">
        <v>482</v>
      </c>
      <c r="C287" s="138" t="s">
        <v>2353</v>
      </c>
      <c r="D287" s="5" t="s">
        <v>140</v>
      </c>
      <c r="E287" s="283" t="s">
        <v>34</v>
      </c>
      <c r="F287" s="5">
        <v>723103</v>
      </c>
      <c r="G287" s="119" t="s">
        <v>75</v>
      </c>
      <c r="H287" s="119" t="s">
        <v>2356</v>
      </c>
      <c r="I287" s="131">
        <v>14</v>
      </c>
      <c r="J287" s="141" t="s">
        <v>117</v>
      </c>
      <c r="K287" s="122" t="s">
        <v>943</v>
      </c>
      <c r="L287" s="20"/>
      <c r="M287" s="7"/>
      <c r="N287" s="7"/>
      <c r="O287" s="7"/>
      <c r="P287" s="7"/>
      <c r="Q287" s="7"/>
    </row>
    <row r="288" spans="2:17" customFormat="1" ht="15" customHeight="1">
      <c r="B288" s="5" t="s">
        <v>483</v>
      </c>
      <c r="C288" s="138" t="s">
        <v>2353</v>
      </c>
      <c r="D288" s="5" t="s">
        <v>140</v>
      </c>
      <c r="E288" s="130" t="s">
        <v>206</v>
      </c>
      <c r="F288" s="5">
        <v>722204</v>
      </c>
      <c r="G288" s="119" t="s">
        <v>185</v>
      </c>
      <c r="H288" s="119" t="s">
        <v>2394</v>
      </c>
      <c r="I288" s="145">
        <v>2</v>
      </c>
      <c r="J288" s="141" t="s">
        <v>59</v>
      </c>
      <c r="K288" s="122" t="s">
        <v>105</v>
      </c>
      <c r="L288" s="19"/>
      <c r="M288" s="7"/>
      <c r="N288" s="7"/>
      <c r="O288" s="7"/>
      <c r="P288" s="7"/>
      <c r="Q288" s="7"/>
    </row>
    <row r="289" spans="2:17" customFormat="1" ht="15" customHeight="1">
      <c r="B289" s="5" t="s">
        <v>484</v>
      </c>
      <c r="C289" s="138" t="s">
        <v>2353</v>
      </c>
      <c r="D289" s="5" t="s">
        <v>140</v>
      </c>
      <c r="E289" s="130" t="s">
        <v>33</v>
      </c>
      <c r="F289" s="119">
        <v>752205</v>
      </c>
      <c r="G289" s="119" t="s">
        <v>69</v>
      </c>
      <c r="H289" s="119" t="s">
        <v>2415</v>
      </c>
      <c r="I289" s="131">
        <v>1</v>
      </c>
      <c r="J289" s="141" t="s">
        <v>117</v>
      </c>
      <c r="K289" s="122" t="s">
        <v>943</v>
      </c>
      <c r="L289" s="22"/>
      <c r="M289" s="7"/>
      <c r="N289" s="7"/>
      <c r="O289" s="7"/>
      <c r="P289" s="7"/>
      <c r="Q289" s="7"/>
    </row>
    <row r="290" spans="2:17" customFormat="1" ht="15" customHeight="1">
      <c r="B290" s="5" t="s">
        <v>485</v>
      </c>
      <c r="C290" s="138" t="s">
        <v>2353</v>
      </c>
      <c r="D290" s="5" t="s">
        <v>140</v>
      </c>
      <c r="E290" s="283" t="s">
        <v>36</v>
      </c>
      <c r="F290" s="5">
        <v>514102</v>
      </c>
      <c r="G290" s="119" t="s">
        <v>77</v>
      </c>
      <c r="H290" s="119" t="s">
        <v>1434</v>
      </c>
      <c r="I290" s="131">
        <v>8</v>
      </c>
      <c r="J290" s="141" t="s">
        <v>117</v>
      </c>
      <c r="K290" s="122" t="s">
        <v>943</v>
      </c>
      <c r="L290" s="22"/>
      <c r="M290" s="7"/>
      <c r="N290" s="7"/>
      <c r="O290" s="7"/>
      <c r="P290" s="7"/>
      <c r="Q290" s="7"/>
    </row>
    <row r="291" spans="2:17" customFormat="1" ht="15" customHeight="1">
      <c r="B291" s="5" t="s">
        <v>486</v>
      </c>
      <c r="C291" s="138" t="s">
        <v>2353</v>
      </c>
      <c r="D291" s="5" t="s">
        <v>140</v>
      </c>
      <c r="E291" s="283" t="s">
        <v>45</v>
      </c>
      <c r="F291" s="119">
        <v>522301</v>
      </c>
      <c r="G291" s="119" t="s">
        <v>43</v>
      </c>
      <c r="H291" s="119" t="s">
        <v>2331</v>
      </c>
      <c r="I291" s="131">
        <v>9</v>
      </c>
      <c r="J291" s="141" t="s">
        <v>117</v>
      </c>
      <c r="K291" s="122" t="s">
        <v>943</v>
      </c>
      <c r="L291" s="22"/>
      <c r="M291" s="7"/>
      <c r="N291" s="7"/>
      <c r="O291" s="7"/>
      <c r="P291" s="7"/>
      <c r="Q291" s="7"/>
    </row>
    <row r="292" spans="2:17" customFormat="1" ht="15" customHeight="1">
      <c r="B292" s="5" t="s">
        <v>487</v>
      </c>
      <c r="C292" s="138" t="s">
        <v>2353</v>
      </c>
      <c r="D292" s="5" t="s">
        <v>140</v>
      </c>
      <c r="E292" s="130" t="s">
        <v>52</v>
      </c>
      <c r="F292" s="119">
        <v>721306</v>
      </c>
      <c r="G292" s="119" t="s">
        <v>63</v>
      </c>
      <c r="H292" s="119" t="s">
        <v>2394</v>
      </c>
      <c r="I292" s="145">
        <v>1</v>
      </c>
      <c r="J292" s="141" t="s">
        <v>59</v>
      </c>
      <c r="K292" s="221" t="s">
        <v>105</v>
      </c>
      <c r="L292" s="21"/>
      <c r="M292" s="7"/>
      <c r="N292" s="7"/>
      <c r="O292" s="7"/>
      <c r="P292" s="7"/>
      <c r="Q292" s="7"/>
    </row>
    <row r="293" spans="2:17" customFormat="1" ht="15" customHeight="1">
      <c r="B293" s="5" t="s">
        <v>488</v>
      </c>
      <c r="C293" s="138" t="s">
        <v>2353</v>
      </c>
      <c r="D293" s="5" t="s">
        <v>140</v>
      </c>
      <c r="E293" s="130" t="s">
        <v>1435</v>
      </c>
      <c r="F293" s="119">
        <v>713203</v>
      </c>
      <c r="G293" s="119" t="s">
        <v>66</v>
      </c>
      <c r="H293" s="119" t="s">
        <v>1409</v>
      </c>
      <c r="I293" s="131">
        <v>1</v>
      </c>
      <c r="J293" s="141" t="s">
        <v>117</v>
      </c>
      <c r="K293" s="122" t="s">
        <v>943</v>
      </c>
      <c r="L293" s="23"/>
      <c r="M293" s="7"/>
      <c r="N293" s="7"/>
      <c r="O293" s="7"/>
      <c r="P293" s="7"/>
      <c r="Q293" s="7"/>
    </row>
    <row r="294" spans="2:17" customFormat="1" ht="15" customHeight="1">
      <c r="B294" s="5" t="s">
        <v>489</v>
      </c>
      <c r="C294" s="138" t="s">
        <v>2353</v>
      </c>
      <c r="D294" s="5" t="s">
        <v>140</v>
      </c>
      <c r="E294" s="207" t="s">
        <v>44</v>
      </c>
      <c r="F294" s="119">
        <v>512001</v>
      </c>
      <c r="G294" s="6" t="s">
        <v>81</v>
      </c>
      <c r="H294" s="119" t="s">
        <v>2248</v>
      </c>
      <c r="I294" s="131">
        <v>8</v>
      </c>
      <c r="J294" s="141" t="s">
        <v>117</v>
      </c>
      <c r="K294" s="122" t="s">
        <v>943</v>
      </c>
      <c r="L294" s="23"/>
      <c r="M294" s="7"/>
      <c r="N294" s="7"/>
      <c r="O294" s="7"/>
      <c r="P294" s="7"/>
      <c r="Q294" s="7"/>
    </row>
    <row r="295" spans="2:17" customFormat="1" ht="15" customHeight="1">
      <c r="B295" s="5" t="s">
        <v>490</v>
      </c>
      <c r="C295" s="138" t="s">
        <v>2353</v>
      </c>
      <c r="D295" s="5" t="s">
        <v>140</v>
      </c>
      <c r="E295" s="130" t="s">
        <v>37</v>
      </c>
      <c r="F295" s="119">
        <v>751201</v>
      </c>
      <c r="G295" s="119" t="s">
        <v>183</v>
      </c>
      <c r="H295" s="119" t="s">
        <v>2362</v>
      </c>
      <c r="I295" s="131">
        <v>2</v>
      </c>
      <c r="J295" s="141" t="s">
        <v>117</v>
      </c>
      <c r="K295" s="122" t="s">
        <v>943</v>
      </c>
      <c r="L295" s="23"/>
      <c r="M295" s="7"/>
      <c r="N295" s="7"/>
      <c r="O295" s="7"/>
      <c r="P295" s="7"/>
      <c r="Q295" s="7"/>
    </row>
    <row r="296" spans="2:17" customFormat="1" ht="15" customHeight="1">
      <c r="B296" s="5" t="s">
        <v>491</v>
      </c>
      <c r="C296" s="138" t="s">
        <v>2353</v>
      </c>
      <c r="D296" s="5" t="s">
        <v>140</v>
      </c>
      <c r="E296" s="130" t="s">
        <v>46</v>
      </c>
      <c r="F296" s="119">
        <v>741201</v>
      </c>
      <c r="G296" s="119" t="s">
        <v>182</v>
      </c>
      <c r="H296" s="129" t="s">
        <v>1349</v>
      </c>
      <c r="I296" s="131">
        <v>6</v>
      </c>
      <c r="J296" s="141" t="s">
        <v>283</v>
      </c>
      <c r="K296" s="121" t="s">
        <v>944</v>
      </c>
      <c r="L296" s="23"/>
      <c r="M296" s="7"/>
      <c r="N296" s="7"/>
      <c r="O296" s="7"/>
      <c r="P296" s="7"/>
      <c r="Q296" s="7"/>
    </row>
    <row r="297" spans="2:17" customFormat="1" ht="15" customHeight="1">
      <c r="B297" s="5" t="s">
        <v>492</v>
      </c>
      <c r="C297" s="138" t="s">
        <v>2353</v>
      </c>
      <c r="D297" s="5" t="s">
        <v>140</v>
      </c>
      <c r="E297" s="283" t="s">
        <v>36</v>
      </c>
      <c r="F297" s="5">
        <v>514102</v>
      </c>
      <c r="G297" s="119" t="s">
        <v>77</v>
      </c>
      <c r="H297" s="129" t="s">
        <v>1345</v>
      </c>
      <c r="I297" s="285">
        <v>1</v>
      </c>
      <c r="J297" s="141" t="s">
        <v>59</v>
      </c>
      <c r="K297" s="221" t="s">
        <v>105</v>
      </c>
      <c r="L297" s="23"/>
      <c r="M297" s="273"/>
      <c r="N297" s="273"/>
      <c r="O297" s="273"/>
      <c r="P297" s="273"/>
      <c r="Q297" s="273"/>
    </row>
    <row r="298" spans="2:17" customFormat="1" ht="15" customHeight="1">
      <c r="B298" s="5" t="s">
        <v>493</v>
      </c>
      <c r="C298" s="283" t="s">
        <v>284</v>
      </c>
      <c r="D298" s="5" t="s">
        <v>285</v>
      </c>
      <c r="E298" s="283" t="s">
        <v>34</v>
      </c>
      <c r="F298" s="119">
        <v>723103</v>
      </c>
      <c r="G298" s="119" t="s">
        <v>75</v>
      </c>
      <c r="H298" s="133" t="s">
        <v>1348</v>
      </c>
      <c r="I298" s="145">
        <v>8</v>
      </c>
      <c r="J298" s="141" t="s">
        <v>59</v>
      </c>
      <c r="K298" s="122" t="s">
        <v>105</v>
      </c>
      <c r="L298" s="19"/>
      <c r="M298" s="7"/>
      <c r="N298" s="7"/>
      <c r="O298" s="7"/>
      <c r="P298" s="7"/>
      <c r="Q298" s="7"/>
    </row>
    <row r="299" spans="2:17" customFormat="1" ht="15" customHeight="1">
      <c r="B299" s="5" t="s">
        <v>494</v>
      </c>
      <c r="C299" s="283" t="s">
        <v>284</v>
      </c>
      <c r="D299" s="5" t="s">
        <v>285</v>
      </c>
      <c r="E299" s="130" t="s">
        <v>53</v>
      </c>
      <c r="F299" s="119">
        <v>741203</v>
      </c>
      <c r="G299" s="119" t="s">
        <v>64</v>
      </c>
      <c r="H299" s="119" t="s">
        <v>1349</v>
      </c>
      <c r="I299" s="145">
        <v>1</v>
      </c>
      <c r="J299" s="141" t="s">
        <v>59</v>
      </c>
      <c r="K299" s="122" t="s">
        <v>105</v>
      </c>
      <c r="L299" s="19"/>
      <c r="M299" s="7"/>
      <c r="N299" s="7"/>
      <c r="O299" s="7"/>
      <c r="P299" s="7"/>
      <c r="Q299" s="7"/>
    </row>
    <row r="300" spans="2:17" customFormat="1" ht="15" customHeight="1">
      <c r="B300" s="5" t="s">
        <v>500</v>
      </c>
      <c r="C300" s="283" t="s">
        <v>284</v>
      </c>
      <c r="D300" s="5" t="s">
        <v>285</v>
      </c>
      <c r="E300" s="283" t="s">
        <v>45</v>
      </c>
      <c r="F300" s="119">
        <v>522301</v>
      </c>
      <c r="G300" s="119" t="s">
        <v>43</v>
      </c>
      <c r="H300" s="119" t="s">
        <v>1348</v>
      </c>
      <c r="I300" s="145">
        <v>7</v>
      </c>
      <c r="J300" s="141" t="s">
        <v>59</v>
      </c>
      <c r="K300" s="122" t="s">
        <v>105</v>
      </c>
      <c r="L300" s="21"/>
      <c r="M300" s="7"/>
      <c r="N300" s="7"/>
      <c r="O300" s="7"/>
      <c r="P300" s="7"/>
      <c r="Q300" s="7"/>
    </row>
    <row r="301" spans="2:17" customFormat="1" ht="15" customHeight="1">
      <c r="B301" s="5" t="s">
        <v>501</v>
      </c>
      <c r="C301" s="283" t="s">
        <v>284</v>
      </c>
      <c r="D301" s="5" t="s">
        <v>285</v>
      </c>
      <c r="E301" s="130" t="s">
        <v>38</v>
      </c>
      <c r="F301" s="119">
        <v>741103</v>
      </c>
      <c r="G301" s="119" t="s">
        <v>54</v>
      </c>
      <c r="H301" s="119" t="s">
        <v>2394</v>
      </c>
      <c r="I301" s="145">
        <v>1</v>
      </c>
      <c r="J301" s="141" t="s">
        <v>59</v>
      </c>
      <c r="K301" s="122" t="s">
        <v>105</v>
      </c>
      <c r="L301" s="21"/>
      <c r="M301" s="7"/>
      <c r="N301" s="7"/>
      <c r="O301" s="7"/>
      <c r="P301" s="7"/>
      <c r="Q301" s="7"/>
    </row>
    <row r="302" spans="2:17" customFormat="1" ht="15" customHeight="1">
      <c r="B302" s="5" t="s">
        <v>502</v>
      </c>
      <c r="C302" s="283" t="s">
        <v>284</v>
      </c>
      <c r="D302" s="5" t="s">
        <v>285</v>
      </c>
      <c r="E302" s="207" t="s">
        <v>44</v>
      </c>
      <c r="F302" s="119">
        <v>512001</v>
      </c>
      <c r="G302" s="6" t="s">
        <v>81</v>
      </c>
      <c r="H302" s="119" t="s">
        <v>1343</v>
      </c>
      <c r="I302" s="145">
        <v>2</v>
      </c>
      <c r="J302" s="141" t="s">
        <v>59</v>
      </c>
      <c r="K302" s="122" t="s">
        <v>105</v>
      </c>
      <c r="L302" s="21"/>
      <c r="M302" s="7"/>
      <c r="N302" s="7"/>
      <c r="O302" s="7"/>
      <c r="P302" s="7"/>
      <c r="Q302" s="7"/>
    </row>
    <row r="303" spans="2:17" customFormat="1" ht="15" customHeight="1">
      <c r="B303" s="5" t="s">
        <v>503</v>
      </c>
      <c r="C303" s="283" t="s">
        <v>284</v>
      </c>
      <c r="D303" s="5" t="s">
        <v>285</v>
      </c>
      <c r="E303" s="130" t="s">
        <v>37</v>
      </c>
      <c r="F303" s="119">
        <v>751201</v>
      </c>
      <c r="G303" s="119" t="s">
        <v>183</v>
      </c>
      <c r="H303" s="119" t="s">
        <v>1349</v>
      </c>
      <c r="I303" s="145">
        <v>1</v>
      </c>
      <c r="J303" s="141" t="s">
        <v>59</v>
      </c>
      <c r="K303" s="122" t="s">
        <v>105</v>
      </c>
      <c r="L303" s="21"/>
      <c r="M303" s="7"/>
      <c r="N303" s="7"/>
      <c r="O303" s="7"/>
      <c r="P303" s="7"/>
      <c r="Q303" s="7"/>
    </row>
    <row r="304" spans="2:17" customFormat="1" ht="15" customHeight="1">
      <c r="B304" s="5" t="s">
        <v>504</v>
      </c>
      <c r="C304" s="283" t="s">
        <v>284</v>
      </c>
      <c r="D304" s="5" t="s">
        <v>285</v>
      </c>
      <c r="E304" s="130" t="s">
        <v>175</v>
      </c>
      <c r="F304" s="119">
        <v>711204</v>
      </c>
      <c r="G304" s="119" t="s">
        <v>106</v>
      </c>
      <c r="H304" s="119" t="s">
        <v>1345</v>
      </c>
      <c r="I304" s="145">
        <v>2</v>
      </c>
      <c r="J304" s="141" t="s">
        <v>59</v>
      </c>
      <c r="K304" s="122" t="s">
        <v>105</v>
      </c>
      <c r="L304" s="21"/>
      <c r="M304" s="7"/>
      <c r="N304" s="7"/>
      <c r="O304" s="7"/>
      <c r="P304" s="7"/>
      <c r="Q304" s="7"/>
    </row>
    <row r="305" spans="2:17" customFormat="1" ht="15" customHeight="1">
      <c r="B305" s="5" t="s">
        <v>505</v>
      </c>
      <c r="C305" s="283" t="s">
        <v>284</v>
      </c>
      <c r="D305" s="5" t="s">
        <v>285</v>
      </c>
      <c r="E305" s="221" t="s">
        <v>198</v>
      </c>
      <c r="F305" s="119">
        <v>712618</v>
      </c>
      <c r="G305" s="119" t="s">
        <v>86</v>
      </c>
      <c r="H305" s="119" t="s">
        <v>1347</v>
      </c>
      <c r="I305" s="145">
        <v>2</v>
      </c>
      <c r="J305" s="141" t="s">
        <v>59</v>
      </c>
      <c r="K305" s="122" t="s">
        <v>105</v>
      </c>
      <c r="L305" s="21"/>
      <c r="M305" s="7"/>
      <c r="N305" s="7"/>
      <c r="O305" s="7"/>
      <c r="P305" s="7"/>
      <c r="Q305" s="7"/>
    </row>
    <row r="306" spans="2:17" customFormat="1" ht="15" customHeight="1">
      <c r="B306" s="5" t="s">
        <v>506</v>
      </c>
      <c r="C306" s="283" t="s">
        <v>284</v>
      </c>
      <c r="D306" s="5" t="s">
        <v>285</v>
      </c>
      <c r="E306" s="130" t="s">
        <v>103</v>
      </c>
      <c r="F306" s="119">
        <v>722307</v>
      </c>
      <c r="G306" s="119" t="s">
        <v>83</v>
      </c>
      <c r="H306" s="119" t="s">
        <v>1349</v>
      </c>
      <c r="I306" s="145">
        <v>2</v>
      </c>
      <c r="J306" s="141" t="s">
        <v>59</v>
      </c>
      <c r="K306" s="122" t="s">
        <v>105</v>
      </c>
      <c r="L306" s="21"/>
      <c r="M306" s="7"/>
      <c r="N306" s="7"/>
      <c r="O306" s="7"/>
      <c r="P306" s="7"/>
      <c r="Q306" s="7"/>
    </row>
    <row r="307" spans="2:17" customFormat="1" ht="15" customHeight="1">
      <c r="B307" s="5" t="s">
        <v>507</v>
      </c>
      <c r="C307" s="283" t="s">
        <v>284</v>
      </c>
      <c r="D307" s="5" t="s">
        <v>285</v>
      </c>
      <c r="E307" s="283" t="s">
        <v>36</v>
      </c>
      <c r="F307" s="119">
        <v>514101</v>
      </c>
      <c r="G307" s="119" t="s">
        <v>77</v>
      </c>
      <c r="H307" s="119" t="s">
        <v>2394</v>
      </c>
      <c r="I307" s="145">
        <v>2</v>
      </c>
      <c r="J307" s="141" t="s">
        <v>59</v>
      </c>
      <c r="K307" s="122" t="s">
        <v>105</v>
      </c>
      <c r="L307" s="21"/>
      <c r="M307" s="7"/>
      <c r="N307" s="7"/>
      <c r="O307" s="7"/>
      <c r="P307" s="7"/>
      <c r="Q307" s="7"/>
    </row>
    <row r="308" spans="2:17" customFormat="1" ht="15" customHeight="1">
      <c r="B308" s="5" t="s">
        <v>508</v>
      </c>
      <c r="C308" s="283" t="s">
        <v>284</v>
      </c>
      <c r="D308" s="5" t="s">
        <v>285</v>
      </c>
      <c r="E308" s="130" t="s">
        <v>57</v>
      </c>
      <c r="F308" s="119">
        <v>751204</v>
      </c>
      <c r="G308" s="119" t="s">
        <v>68</v>
      </c>
      <c r="H308" s="119" t="s">
        <v>1348</v>
      </c>
      <c r="I308" s="145">
        <v>1</v>
      </c>
      <c r="J308" s="141" t="s">
        <v>59</v>
      </c>
      <c r="K308" s="122" t="s">
        <v>105</v>
      </c>
      <c r="L308" s="21"/>
      <c r="M308" s="7"/>
      <c r="N308" s="7"/>
      <c r="O308" s="7"/>
      <c r="P308" s="7"/>
      <c r="Q308" s="7"/>
    </row>
    <row r="309" spans="2:17" customFormat="1" ht="15" customHeight="1">
      <c r="B309" s="5" t="s">
        <v>509</v>
      </c>
      <c r="C309" s="283" t="s">
        <v>284</v>
      </c>
      <c r="D309" s="5" t="s">
        <v>285</v>
      </c>
      <c r="E309" s="130" t="s">
        <v>206</v>
      </c>
      <c r="F309" s="119">
        <v>722204</v>
      </c>
      <c r="G309" s="119" t="s">
        <v>185</v>
      </c>
      <c r="H309" s="119" t="s">
        <v>1343</v>
      </c>
      <c r="I309" s="145">
        <v>1</v>
      </c>
      <c r="J309" s="141" t="s">
        <v>59</v>
      </c>
      <c r="K309" s="122" t="s">
        <v>105</v>
      </c>
      <c r="L309" s="21"/>
      <c r="M309" s="7"/>
      <c r="N309" s="7"/>
      <c r="O309" s="7"/>
      <c r="P309" s="7"/>
      <c r="Q309" s="7"/>
    </row>
    <row r="310" spans="2:17" ht="30" customHeight="1">
      <c r="B310" s="5" t="s">
        <v>510</v>
      </c>
      <c r="C310" s="283" t="s">
        <v>495</v>
      </c>
      <c r="D310" s="119" t="s">
        <v>496</v>
      </c>
      <c r="E310" s="207" t="s">
        <v>44</v>
      </c>
      <c r="F310" s="119">
        <v>512001</v>
      </c>
      <c r="G310" s="6" t="s">
        <v>81</v>
      </c>
      <c r="H310" s="6" t="s">
        <v>2249</v>
      </c>
      <c r="I310" s="131">
        <v>11</v>
      </c>
      <c r="J310" s="280" t="s">
        <v>1174</v>
      </c>
      <c r="K310" s="207" t="s">
        <v>849</v>
      </c>
      <c r="L310" s="27"/>
      <c r="M310" s="7"/>
      <c r="N310" s="18"/>
      <c r="O310" s="7"/>
      <c r="P310" s="7"/>
      <c r="Q310" s="7"/>
    </row>
    <row r="311" spans="2:17" customFormat="1" ht="15" customHeight="1">
      <c r="B311" s="5" t="s">
        <v>511</v>
      </c>
      <c r="C311" s="283" t="s">
        <v>495</v>
      </c>
      <c r="D311" s="5" t="s">
        <v>496</v>
      </c>
      <c r="E311" s="283" t="s">
        <v>45</v>
      </c>
      <c r="F311" s="119">
        <v>522301</v>
      </c>
      <c r="G311" s="119" t="s">
        <v>43</v>
      </c>
      <c r="H311" s="119" t="s">
        <v>1410</v>
      </c>
      <c r="I311" s="131">
        <v>2</v>
      </c>
      <c r="J311" s="141" t="s">
        <v>1174</v>
      </c>
      <c r="K311" s="122" t="s">
        <v>849</v>
      </c>
      <c r="L311" s="27"/>
      <c r="M311" s="7"/>
      <c r="N311" s="18"/>
      <c r="O311" s="7"/>
      <c r="P311" s="7"/>
      <c r="Q311" s="7"/>
    </row>
    <row r="312" spans="2:17" ht="30" customHeight="1">
      <c r="B312" s="5" t="s">
        <v>512</v>
      </c>
      <c r="C312" s="283" t="s">
        <v>495</v>
      </c>
      <c r="D312" s="119" t="s">
        <v>496</v>
      </c>
      <c r="E312" s="283" t="s">
        <v>36</v>
      </c>
      <c r="F312" s="119">
        <v>514101</v>
      </c>
      <c r="G312" s="119" t="s">
        <v>77</v>
      </c>
      <c r="H312" s="6" t="s">
        <v>2250</v>
      </c>
      <c r="I312" s="131">
        <v>6</v>
      </c>
      <c r="J312" s="280" t="s">
        <v>1174</v>
      </c>
      <c r="K312" s="207" t="s">
        <v>849</v>
      </c>
      <c r="L312" s="27"/>
      <c r="M312" s="7"/>
      <c r="N312" s="18"/>
      <c r="O312" s="7"/>
      <c r="P312" s="7"/>
      <c r="Q312" s="7"/>
    </row>
    <row r="313" spans="2:17" customFormat="1" ht="15" customHeight="1">
      <c r="B313" s="5" t="s">
        <v>513</v>
      </c>
      <c r="C313" s="283" t="s">
        <v>495</v>
      </c>
      <c r="D313" s="5" t="s">
        <v>496</v>
      </c>
      <c r="E313" s="130" t="s">
        <v>37</v>
      </c>
      <c r="F313" s="119">
        <v>751201</v>
      </c>
      <c r="G313" s="119" t="s">
        <v>183</v>
      </c>
      <c r="H313" s="119" t="s">
        <v>1411</v>
      </c>
      <c r="I313" s="131">
        <v>3</v>
      </c>
      <c r="J313" s="141" t="s">
        <v>1174</v>
      </c>
      <c r="K313" s="122" t="s">
        <v>849</v>
      </c>
      <c r="L313" s="27"/>
      <c r="M313" s="7"/>
      <c r="N313" s="18"/>
      <c r="O313" s="7"/>
      <c r="P313" s="7"/>
      <c r="Q313" s="7"/>
    </row>
    <row r="314" spans="2:17" ht="30" customHeight="1">
      <c r="B314" s="5" t="s">
        <v>514</v>
      </c>
      <c r="C314" s="283" t="s">
        <v>495</v>
      </c>
      <c r="D314" s="119" t="s">
        <v>496</v>
      </c>
      <c r="E314" s="283" t="s">
        <v>34</v>
      </c>
      <c r="F314" s="119">
        <v>723103</v>
      </c>
      <c r="G314" s="119" t="s">
        <v>75</v>
      </c>
      <c r="H314" s="6" t="s">
        <v>2251</v>
      </c>
      <c r="I314" s="131">
        <v>7</v>
      </c>
      <c r="J314" s="280" t="s">
        <v>1174</v>
      </c>
      <c r="K314" s="207" t="s">
        <v>849</v>
      </c>
      <c r="L314" s="27"/>
      <c r="M314" s="7"/>
      <c r="N314" s="18"/>
      <c r="O314" s="7"/>
      <c r="P314" s="7"/>
      <c r="Q314" s="7"/>
    </row>
    <row r="315" spans="2:17" customFormat="1" ht="15" customHeight="1">
      <c r="B315" s="5" t="s">
        <v>515</v>
      </c>
      <c r="C315" s="283" t="s">
        <v>495</v>
      </c>
      <c r="D315" s="5" t="s">
        <v>496</v>
      </c>
      <c r="E315" s="130" t="s">
        <v>52</v>
      </c>
      <c r="F315" s="119">
        <v>721306</v>
      </c>
      <c r="G315" s="119" t="s">
        <v>63</v>
      </c>
      <c r="H315" s="119" t="s">
        <v>2394</v>
      </c>
      <c r="I315" s="376">
        <v>0</v>
      </c>
      <c r="J315" s="141" t="s">
        <v>59</v>
      </c>
      <c r="K315" s="122" t="s">
        <v>105</v>
      </c>
      <c r="L315" s="24"/>
      <c r="M315" s="7"/>
      <c r="N315" s="7"/>
      <c r="O315" s="7"/>
      <c r="P315" s="7"/>
      <c r="Q315" s="7"/>
    </row>
    <row r="316" spans="2:17" customFormat="1" ht="15" customHeight="1">
      <c r="B316" s="5" t="s">
        <v>516</v>
      </c>
      <c r="C316" s="283" t="s">
        <v>495</v>
      </c>
      <c r="D316" s="5" t="s">
        <v>496</v>
      </c>
      <c r="E316" s="130" t="s">
        <v>206</v>
      </c>
      <c r="F316" s="119">
        <v>722204</v>
      </c>
      <c r="G316" s="119" t="s">
        <v>185</v>
      </c>
      <c r="H316" s="119" t="s">
        <v>2394</v>
      </c>
      <c r="I316" s="145">
        <v>7</v>
      </c>
      <c r="J316" s="141" t="s">
        <v>59</v>
      </c>
      <c r="K316" s="122" t="s">
        <v>105</v>
      </c>
      <c r="L316" s="24"/>
      <c r="M316" s="7"/>
      <c r="N316" s="7"/>
      <c r="O316" s="7"/>
      <c r="P316" s="7"/>
      <c r="Q316" s="7"/>
    </row>
    <row r="317" spans="2:17" customFormat="1" ht="15" customHeight="1">
      <c r="B317" s="5" t="s">
        <v>946</v>
      </c>
      <c r="C317" s="283" t="s">
        <v>495</v>
      </c>
      <c r="D317" s="5" t="s">
        <v>496</v>
      </c>
      <c r="E317" s="130" t="s">
        <v>38</v>
      </c>
      <c r="F317" s="119">
        <v>741103</v>
      </c>
      <c r="G317" s="119" t="s">
        <v>54</v>
      </c>
      <c r="H317" s="119" t="s">
        <v>2394</v>
      </c>
      <c r="I317" s="145">
        <v>1</v>
      </c>
      <c r="J317" s="141" t="s">
        <v>59</v>
      </c>
      <c r="K317" s="122" t="s">
        <v>105</v>
      </c>
      <c r="L317" s="24"/>
      <c r="M317" s="7"/>
      <c r="N317" s="7"/>
      <c r="O317" s="7"/>
      <c r="P317" s="7"/>
      <c r="Q317" s="7"/>
    </row>
    <row r="318" spans="2:17" customFormat="1" ht="15" customHeight="1">
      <c r="B318" s="5" t="s">
        <v>947</v>
      </c>
      <c r="C318" s="283" t="s">
        <v>497</v>
      </c>
      <c r="D318" s="5" t="s">
        <v>498</v>
      </c>
      <c r="E318" s="130" t="s">
        <v>37</v>
      </c>
      <c r="F318" s="119">
        <v>514101</v>
      </c>
      <c r="G318" s="119" t="s">
        <v>183</v>
      </c>
      <c r="H318" s="119" t="s">
        <v>1349</v>
      </c>
      <c r="I318" s="145">
        <v>3</v>
      </c>
      <c r="J318" s="141" t="s">
        <v>59</v>
      </c>
      <c r="K318" s="122" t="s">
        <v>105</v>
      </c>
      <c r="L318" s="21"/>
      <c r="M318" s="7"/>
      <c r="N318" s="7"/>
      <c r="O318" s="7"/>
      <c r="P318" s="7"/>
      <c r="Q318" s="7"/>
    </row>
    <row r="319" spans="2:17" customFormat="1" ht="15" customHeight="1">
      <c r="B319" s="5" t="s">
        <v>948</v>
      </c>
      <c r="C319" s="283" t="s">
        <v>497</v>
      </c>
      <c r="D319" s="5" t="s">
        <v>498</v>
      </c>
      <c r="E319" s="130" t="s">
        <v>53</v>
      </c>
      <c r="F319" s="119">
        <v>741203</v>
      </c>
      <c r="G319" s="119" t="s">
        <v>64</v>
      </c>
      <c r="H319" s="119" t="s">
        <v>1349</v>
      </c>
      <c r="I319" s="145">
        <v>2</v>
      </c>
      <c r="J319" s="141" t="s">
        <v>59</v>
      </c>
      <c r="K319" s="122" t="s">
        <v>105</v>
      </c>
      <c r="L319" s="21"/>
      <c r="M319" s="7"/>
      <c r="N319" s="7"/>
      <c r="O319" s="7"/>
      <c r="P319" s="7"/>
      <c r="Q319" s="7"/>
    </row>
    <row r="320" spans="2:17" customFormat="1" ht="15" customHeight="1">
      <c r="B320" s="5" t="s">
        <v>949</v>
      </c>
      <c r="C320" s="283" t="s">
        <v>497</v>
      </c>
      <c r="D320" s="5" t="s">
        <v>498</v>
      </c>
      <c r="E320" s="130" t="s">
        <v>38</v>
      </c>
      <c r="F320" s="119">
        <v>741103</v>
      </c>
      <c r="G320" s="119" t="s">
        <v>54</v>
      </c>
      <c r="H320" s="119" t="s">
        <v>2394</v>
      </c>
      <c r="I320" s="145">
        <v>3</v>
      </c>
      <c r="J320" s="141" t="s">
        <v>59</v>
      </c>
      <c r="K320" s="122" t="s">
        <v>105</v>
      </c>
      <c r="L320" s="21"/>
      <c r="M320" s="7"/>
      <c r="N320" s="7"/>
      <c r="O320" s="7"/>
      <c r="P320" s="7"/>
      <c r="Q320" s="7"/>
    </row>
    <row r="321" spans="2:17" customFormat="1" ht="15" customHeight="1">
      <c r="B321" s="5" t="s">
        <v>950</v>
      </c>
      <c r="C321" s="283" t="s">
        <v>497</v>
      </c>
      <c r="D321" s="5" t="s">
        <v>498</v>
      </c>
      <c r="E321" s="221" t="s">
        <v>198</v>
      </c>
      <c r="F321" s="119">
        <v>712618</v>
      </c>
      <c r="G321" s="119" t="s">
        <v>86</v>
      </c>
      <c r="H321" s="119" t="s">
        <v>1347</v>
      </c>
      <c r="I321" s="145">
        <v>3</v>
      </c>
      <c r="J321" s="141" t="s">
        <v>59</v>
      </c>
      <c r="K321" s="122" t="s">
        <v>105</v>
      </c>
      <c r="L321" s="21"/>
      <c r="M321" s="7"/>
      <c r="N321" s="7"/>
      <c r="O321" s="7"/>
      <c r="P321" s="7"/>
      <c r="Q321" s="7"/>
    </row>
    <row r="322" spans="2:17" customFormat="1" ht="15" customHeight="1">
      <c r="B322" s="5" t="s">
        <v>951</v>
      </c>
      <c r="C322" s="283" t="s">
        <v>497</v>
      </c>
      <c r="D322" s="5" t="s">
        <v>498</v>
      </c>
      <c r="E322" s="130" t="s">
        <v>175</v>
      </c>
      <c r="F322" s="119">
        <v>711204</v>
      </c>
      <c r="G322" s="119" t="s">
        <v>106</v>
      </c>
      <c r="H322" s="119" t="s">
        <v>1345</v>
      </c>
      <c r="I322" s="145">
        <v>1</v>
      </c>
      <c r="J322" s="141" t="s">
        <v>59</v>
      </c>
      <c r="K322" s="122" t="s">
        <v>105</v>
      </c>
      <c r="L322" s="21"/>
      <c r="M322" s="7"/>
      <c r="N322" s="7"/>
      <c r="O322" s="7"/>
      <c r="P322" s="7"/>
      <c r="Q322" s="7"/>
    </row>
    <row r="323" spans="2:17" customFormat="1" ht="15" customHeight="1">
      <c r="B323" s="5" t="s">
        <v>952</v>
      </c>
      <c r="C323" s="283" t="s">
        <v>497</v>
      </c>
      <c r="D323" s="5" t="s">
        <v>498</v>
      </c>
      <c r="E323" s="283" t="s">
        <v>45</v>
      </c>
      <c r="F323" s="119">
        <v>522301</v>
      </c>
      <c r="G323" s="119" t="s">
        <v>43</v>
      </c>
      <c r="H323" s="119" t="s">
        <v>1345</v>
      </c>
      <c r="I323" s="145">
        <v>16</v>
      </c>
      <c r="J323" s="141" t="s">
        <v>59</v>
      </c>
      <c r="K323" s="122" t="s">
        <v>105</v>
      </c>
      <c r="L323" s="21"/>
      <c r="M323" s="7"/>
      <c r="N323" s="7"/>
      <c r="O323" s="7"/>
      <c r="P323" s="7"/>
      <c r="Q323" s="7"/>
    </row>
    <row r="324" spans="2:17" customFormat="1" ht="15" customHeight="1">
      <c r="B324" s="5" t="s">
        <v>953</v>
      </c>
      <c r="C324" s="283" t="s">
        <v>497</v>
      </c>
      <c r="D324" s="5" t="s">
        <v>498</v>
      </c>
      <c r="E324" s="130" t="s">
        <v>206</v>
      </c>
      <c r="F324" s="119">
        <v>741103</v>
      </c>
      <c r="G324" s="119" t="s">
        <v>185</v>
      </c>
      <c r="H324" s="119" t="s">
        <v>1343</v>
      </c>
      <c r="I324" s="145">
        <v>4</v>
      </c>
      <c r="J324" s="141" t="s">
        <v>59</v>
      </c>
      <c r="K324" s="122" t="s">
        <v>105</v>
      </c>
      <c r="L324" s="21"/>
      <c r="M324" s="7"/>
      <c r="N324" s="7"/>
      <c r="O324" s="7"/>
      <c r="P324" s="7"/>
      <c r="Q324" s="7"/>
    </row>
    <row r="325" spans="2:17" customFormat="1" ht="30" customHeight="1">
      <c r="B325" s="5" t="s">
        <v>954</v>
      </c>
      <c r="C325" s="283" t="s">
        <v>497</v>
      </c>
      <c r="D325" s="5" t="s">
        <v>498</v>
      </c>
      <c r="E325" s="283" t="s">
        <v>36</v>
      </c>
      <c r="F325" s="119">
        <v>514101</v>
      </c>
      <c r="G325" s="119" t="s">
        <v>77</v>
      </c>
      <c r="H325" s="6" t="s">
        <v>1404</v>
      </c>
      <c r="I325" s="131">
        <v>40</v>
      </c>
      <c r="J325" s="149" t="s">
        <v>499</v>
      </c>
      <c r="K325" s="122" t="s">
        <v>945</v>
      </c>
      <c r="L325" s="27"/>
      <c r="M325" s="7"/>
      <c r="N325" s="7"/>
      <c r="O325" s="7"/>
      <c r="P325" s="7"/>
      <c r="Q325" s="7"/>
    </row>
    <row r="326" spans="2:17" customFormat="1" ht="30" customHeight="1">
      <c r="B326" s="5" t="s">
        <v>955</v>
      </c>
      <c r="C326" s="283" t="s">
        <v>497</v>
      </c>
      <c r="D326" s="5" t="s">
        <v>498</v>
      </c>
      <c r="E326" s="283" t="s">
        <v>34</v>
      </c>
      <c r="F326" s="119">
        <v>723103</v>
      </c>
      <c r="G326" s="119" t="s">
        <v>75</v>
      </c>
      <c r="H326" s="6" t="s">
        <v>1404</v>
      </c>
      <c r="I326" s="131">
        <v>45</v>
      </c>
      <c r="J326" s="149" t="s">
        <v>499</v>
      </c>
      <c r="K326" s="122" t="s">
        <v>945</v>
      </c>
      <c r="L326" s="27"/>
      <c r="M326" s="7"/>
      <c r="N326" s="7"/>
      <c r="O326" s="7"/>
      <c r="P326" s="7"/>
      <c r="Q326" s="7"/>
    </row>
    <row r="327" spans="2:17" customFormat="1" ht="15" customHeight="1">
      <c r="B327" s="5" t="s">
        <v>956</v>
      </c>
      <c r="C327" s="283" t="s">
        <v>517</v>
      </c>
      <c r="D327" s="5" t="s">
        <v>260</v>
      </c>
      <c r="E327" s="130" t="s">
        <v>206</v>
      </c>
      <c r="F327" s="119">
        <v>722204</v>
      </c>
      <c r="G327" s="119" t="s">
        <v>185</v>
      </c>
      <c r="H327" s="119" t="s">
        <v>2394</v>
      </c>
      <c r="I327" s="145">
        <v>7</v>
      </c>
      <c r="J327" s="141" t="s">
        <v>59</v>
      </c>
      <c r="K327" s="122" t="s">
        <v>105</v>
      </c>
      <c r="L327" s="24"/>
      <c r="M327" s="7"/>
      <c r="N327" s="7"/>
      <c r="O327" s="7"/>
      <c r="P327" s="7"/>
      <c r="Q327" s="7"/>
    </row>
    <row r="328" spans="2:17" customFormat="1" ht="15" customHeight="1">
      <c r="B328" s="5" t="s">
        <v>957</v>
      </c>
      <c r="C328" s="283" t="s">
        <v>517</v>
      </c>
      <c r="D328" s="5" t="s">
        <v>260</v>
      </c>
      <c r="E328" s="130" t="s">
        <v>53</v>
      </c>
      <c r="F328" s="119">
        <v>741203</v>
      </c>
      <c r="G328" s="119" t="s">
        <v>64</v>
      </c>
      <c r="H328" s="119" t="s">
        <v>1349</v>
      </c>
      <c r="I328" s="145">
        <v>7</v>
      </c>
      <c r="J328" s="141" t="s">
        <v>59</v>
      </c>
      <c r="K328" s="122" t="s">
        <v>105</v>
      </c>
      <c r="L328" s="24"/>
      <c r="M328" s="7"/>
      <c r="N328" s="7"/>
      <c r="O328" s="7"/>
      <c r="P328" s="7"/>
      <c r="Q328" s="7"/>
    </row>
    <row r="329" spans="2:17" customFormat="1" ht="15" customHeight="1">
      <c r="B329" s="5" t="s">
        <v>958</v>
      </c>
      <c r="C329" s="283" t="s">
        <v>517</v>
      </c>
      <c r="D329" s="5" t="s">
        <v>260</v>
      </c>
      <c r="E329" s="130" t="s">
        <v>1435</v>
      </c>
      <c r="F329" s="119">
        <v>713201</v>
      </c>
      <c r="G329" s="119" t="s">
        <v>66</v>
      </c>
      <c r="H329" s="119" t="s">
        <v>1344</v>
      </c>
      <c r="I329" s="145">
        <v>5</v>
      </c>
      <c r="J329" s="141" t="s">
        <v>59</v>
      </c>
      <c r="K329" s="122" t="s">
        <v>105</v>
      </c>
      <c r="L329" s="30"/>
      <c r="M329" s="7"/>
      <c r="N329" s="7"/>
      <c r="O329" s="7"/>
      <c r="P329" s="7"/>
      <c r="Q329" s="7"/>
    </row>
    <row r="330" spans="2:17" customFormat="1" ht="15" customHeight="1">
      <c r="B330" s="5" t="s">
        <v>959</v>
      </c>
      <c r="C330" s="283" t="s">
        <v>517</v>
      </c>
      <c r="D330" s="5" t="s">
        <v>260</v>
      </c>
      <c r="E330" s="130" t="s">
        <v>103</v>
      </c>
      <c r="F330" s="119">
        <v>722307</v>
      </c>
      <c r="G330" s="119" t="s">
        <v>83</v>
      </c>
      <c r="H330" s="119" t="s">
        <v>1347</v>
      </c>
      <c r="I330" s="376">
        <v>0</v>
      </c>
      <c r="J330" s="141" t="s">
        <v>59</v>
      </c>
      <c r="K330" s="221" t="s">
        <v>105</v>
      </c>
      <c r="L330" s="24"/>
      <c r="M330" s="14"/>
      <c r="N330" s="7"/>
      <c r="O330" s="7"/>
      <c r="P330" s="7"/>
      <c r="Q330" s="7"/>
    </row>
    <row r="331" spans="2:17" customFormat="1" ht="15" customHeight="1">
      <c r="B331" s="5" t="s">
        <v>960</v>
      </c>
      <c r="C331" s="283" t="s">
        <v>517</v>
      </c>
      <c r="D331" s="5" t="s">
        <v>260</v>
      </c>
      <c r="E331" s="130" t="s">
        <v>519</v>
      </c>
      <c r="F331" s="119">
        <v>814209</v>
      </c>
      <c r="G331" s="5" t="s">
        <v>856</v>
      </c>
      <c r="H331" s="119"/>
      <c r="I331" s="131">
        <v>2</v>
      </c>
      <c r="J331" s="141" t="s">
        <v>61</v>
      </c>
      <c r="K331" s="121" t="s">
        <v>851</v>
      </c>
      <c r="L331" s="27"/>
      <c r="M331" s="7"/>
      <c r="N331" s="7"/>
      <c r="O331" s="7"/>
      <c r="P331" s="7"/>
      <c r="Q331" s="7"/>
    </row>
    <row r="332" spans="2:17" customFormat="1" ht="15" customHeight="1">
      <c r="B332" s="5" t="s">
        <v>961</v>
      </c>
      <c r="C332" s="283" t="s">
        <v>517</v>
      </c>
      <c r="D332" s="5" t="s">
        <v>260</v>
      </c>
      <c r="E332" s="130" t="s">
        <v>518</v>
      </c>
      <c r="F332" s="119">
        <v>832201</v>
      </c>
      <c r="G332" s="5" t="s">
        <v>520</v>
      </c>
      <c r="H332" s="119"/>
      <c r="I332" s="131">
        <v>6</v>
      </c>
      <c r="J332" s="141" t="s">
        <v>61</v>
      </c>
      <c r="K332" s="121" t="s">
        <v>851</v>
      </c>
      <c r="L332" s="27"/>
      <c r="M332" s="7"/>
      <c r="N332" s="7"/>
      <c r="O332" s="7"/>
      <c r="P332" s="7"/>
      <c r="Q332" s="7"/>
    </row>
    <row r="333" spans="2:17" customFormat="1" ht="15" customHeight="1">
      <c r="B333" s="5" t="s">
        <v>962</v>
      </c>
      <c r="C333" s="283" t="s">
        <v>522</v>
      </c>
      <c r="D333" s="5" t="s">
        <v>523</v>
      </c>
      <c r="E333" s="130" t="s">
        <v>175</v>
      </c>
      <c r="F333" s="5">
        <v>711204</v>
      </c>
      <c r="G333" s="119" t="s">
        <v>106</v>
      </c>
      <c r="H333" s="119" t="s">
        <v>1345</v>
      </c>
      <c r="I333" s="145">
        <v>4</v>
      </c>
      <c r="J333" s="141" t="s">
        <v>59</v>
      </c>
      <c r="K333" s="122" t="s">
        <v>105</v>
      </c>
      <c r="L333" s="35"/>
      <c r="M333" s="7"/>
      <c r="N333" s="7"/>
      <c r="O333" s="7"/>
      <c r="P333" s="7"/>
      <c r="Q333" s="7"/>
    </row>
    <row r="334" spans="2:17" customFormat="1" ht="15" customHeight="1">
      <c r="B334" s="5" t="s">
        <v>963</v>
      </c>
      <c r="C334" s="283" t="s">
        <v>522</v>
      </c>
      <c r="D334" s="5" t="s">
        <v>523</v>
      </c>
      <c r="E334" s="130" t="s">
        <v>56</v>
      </c>
      <c r="F334" s="5">
        <v>712905</v>
      </c>
      <c r="G334" s="119" t="s">
        <v>67</v>
      </c>
      <c r="H334" s="119" t="s">
        <v>2246</v>
      </c>
      <c r="I334" s="131">
        <v>3</v>
      </c>
      <c r="J334" s="141" t="s">
        <v>61</v>
      </c>
      <c r="K334" s="121" t="s">
        <v>851</v>
      </c>
      <c r="L334" s="36"/>
      <c r="M334" s="7"/>
      <c r="N334" s="7"/>
      <c r="O334" s="7"/>
      <c r="P334" s="7"/>
      <c r="Q334" s="7"/>
    </row>
    <row r="335" spans="2:17" customFormat="1" ht="15" customHeight="1">
      <c r="B335" s="5" t="s">
        <v>964</v>
      </c>
      <c r="C335" s="283" t="s">
        <v>522</v>
      </c>
      <c r="D335" s="5" t="s">
        <v>523</v>
      </c>
      <c r="E335" s="130" t="s">
        <v>33</v>
      </c>
      <c r="F335" s="5">
        <v>752205</v>
      </c>
      <c r="G335" s="119" t="s">
        <v>69</v>
      </c>
      <c r="H335" s="119" t="s">
        <v>1343</v>
      </c>
      <c r="I335" s="145">
        <v>2</v>
      </c>
      <c r="J335" s="141" t="s">
        <v>59</v>
      </c>
      <c r="K335" s="122" t="s">
        <v>105</v>
      </c>
      <c r="L335" s="35"/>
      <c r="M335" s="7"/>
      <c r="N335" s="7"/>
      <c r="O335" s="7"/>
      <c r="P335" s="7"/>
      <c r="Q335" s="7"/>
    </row>
    <row r="336" spans="2:17" customFormat="1" ht="15" customHeight="1">
      <c r="B336" s="5" t="s">
        <v>965</v>
      </c>
      <c r="C336" s="283" t="s">
        <v>522</v>
      </c>
      <c r="D336" s="5" t="s">
        <v>523</v>
      </c>
      <c r="E336" s="130" t="s">
        <v>38</v>
      </c>
      <c r="F336" s="5">
        <v>741103</v>
      </c>
      <c r="G336" s="119" t="s">
        <v>54</v>
      </c>
      <c r="H336" s="119" t="s">
        <v>1350</v>
      </c>
      <c r="I336" s="145">
        <v>2</v>
      </c>
      <c r="J336" s="141" t="s">
        <v>59</v>
      </c>
      <c r="K336" s="122" t="s">
        <v>105</v>
      </c>
      <c r="L336" s="21"/>
      <c r="M336" s="7"/>
      <c r="N336" s="7"/>
      <c r="O336" s="7"/>
      <c r="P336" s="7"/>
      <c r="Q336" s="7"/>
    </row>
    <row r="337" spans="2:17" customFormat="1" ht="15" customHeight="1">
      <c r="B337" s="5" t="s">
        <v>966</v>
      </c>
      <c r="C337" s="283" t="s">
        <v>522</v>
      </c>
      <c r="D337" s="5" t="s">
        <v>523</v>
      </c>
      <c r="E337" s="283" t="s">
        <v>34</v>
      </c>
      <c r="F337" s="5">
        <v>723103</v>
      </c>
      <c r="G337" s="119" t="s">
        <v>75</v>
      </c>
      <c r="H337" s="119" t="s">
        <v>1345</v>
      </c>
      <c r="I337" s="145">
        <v>16</v>
      </c>
      <c r="J337" s="141" t="s">
        <v>59</v>
      </c>
      <c r="K337" s="122" t="s">
        <v>105</v>
      </c>
      <c r="L337" s="21"/>
      <c r="M337" s="7"/>
      <c r="N337" s="7"/>
      <c r="O337" s="7"/>
      <c r="P337" s="7"/>
      <c r="Q337" s="7"/>
    </row>
    <row r="338" spans="2:17" customFormat="1" ht="15" customHeight="1">
      <c r="B338" s="5" t="s">
        <v>967</v>
      </c>
      <c r="C338" s="283" t="s">
        <v>522</v>
      </c>
      <c r="D338" s="5" t="s">
        <v>523</v>
      </c>
      <c r="E338" s="130" t="s">
        <v>524</v>
      </c>
      <c r="F338" s="5">
        <v>732210</v>
      </c>
      <c r="G338" s="119" t="s">
        <v>858</v>
      </c>
      <c r="H338" s="119"/>
      <c r="I338" s="131">
        <v>1</v>
      </c>
      <c r="J338" s="141" t="s">
        <v>526</v>
      </c>
      <c r="K338" s="121" t="s">
        <v>941</v>
      </c>
      <c r="L338" s="23"/>
      <c r="M338" s="7"/>
      <c r="N338" s="7"/>
      <c r="O338" s="7"/>
      <c r="P338" s="7"/>
      <c r="Q338" s="7"/>
    </row>
    <row r="339" spans="2:17" customFormat="1" ht="15" customHeight="1">
      <c r="B339" s="5" t="s">
        <v>968</v>
      </c>
      <c r="C339" s="283" t="s">
        <v>522</v>
      </c>
      <c r="D339" s="5" t="s">
        <v>523</v>
      </c>
      <c r="E339" s="130" t="s">
        <v>103</v>
      </c>
      <c r="F339" s="5">
        <v>722307</v>
      </c>
      <c r="G339" s="119" t="s">
        <v>83</v>
      </c>
      <c r="H339" s="119" t="s">
        <v>1347</v>
      </c>
      <c r="I339" s="145">
        <v>19</v>
      </c>
      <c r="J339" s="141" t="s">
        <v>59</v>
      </c>
      <c r="K339" s="122" t="s">
        <v>105</v>
      </c>
      <c r="L339" s="21"/>
      <c r="M339" s="7"/>
      <c r="N339" s="7"/>
      <c r="O339" s="7"/>
      <c r="P339" s="7"/>
      <c r="Q339" s="7"/>
    </row>
    <row r="340" spans="2:17" ht="15" customHeight="1">
      <c r="B340" s="5" t="s">
        <v>969</v>
      </c>
      <c r="C340" s="283" t="s">
        <v>522</v>
      </c>
      <c r="D340" s="119" t="s">
        <v>523</v>
      </c>
      <c r="E340" s="283" t="s">
        <v>57</v>
      </c>
      <c r="F340" s="119">
        <v>751204</v>
      </c>
      <c r="G340" s="119" t="s">
        <v>68</v>
      </c>
      <c r="H340" s="295" t="s">
        <v>1340</v>
      </c>
      <c r="I340" s="131">
        <v>1</v>
      </c>
      <c r="J340" s="280" t="s">
        <v>116</v>
      </c>
      <c r="K340" s="207" t="s">
        <v>942</v>
      </c>
      <c r="L340" s="23"/>
      <c r="M340" s="10"/>
      <c r="N340" s="10"/>
      <c r="O340" s="10"/>
      <c r="P340" s="10"/>
      <c r="Q340" s="281"/>
    </row>
    <row r="341" spans="2:17" ht="90">
      <c r="B341" s="5" t="s">
        <v>970</v>
      </c>
      <c r="C341" s="283" t="s">
        <v>522</v>
      </c>
      <c r="D341" s="119" t="s">
        <v>523</v>
      </c>
      <c r="E341" s="283" t="s">
        <v>36</v>
      </c>
      <c r="F341" s="119">
        <v>514101</v>
      </c>
      <c r="G341" s="119" t="s">
        <v>77</v>
      </c>
      <c r="H341" s="309" t="s">
        <v>1429</v>
      </c>
      <c r="I341" s="131">
        <v>15</v>
      </c>
      <c r="J341" s="280" t="s">
        <v>116</v>
      </c>
      <c r="K341" s="207" t="s">
        <v>942</v>
      </c>
      <c r="L341" s="23"/>
      <c r="M341" s="10"/>
      <c r="N341" s="10"/>
      <c r="O341" s="10"/>
      <c r="P341" s="10"/>
      <c r="Q341" s="281"/>
    </row>
    <row r="342" spans="2:17" ht="45" customHeight="1">
      <c r="B342" s="5" t="s">
        <v>971</v>
      </c>
      <c r="C342" s="283" t="s">
        <v>522</v>
      </c>
      <c r="D342" s="119" t="s">
        <v>523</v>
      </c>
      <c r="E342" s="283" t="s">
        <v>45</v>
      </c>
      <c r="F342" s="119">
        <v>522301</v>
      </c>
      <c r="G342" s="119" t="s">
        <v>43</v>
      </c>
      <c r="H342" s="309" t="s">
        <v>1418</v>
      </c>
      <c r="I342" s="131">
        <v>9</v>
      </c>
      <c r="J342" s="280" t="s">
        <v>116</v>
      </c>
      <c r="K342" s="207" t="s">
        <v>942</v>
      </c>
      <c r="L342" s="23"/>
      <c r="M342" s="10"/>
      <c r="N342" s="10"/>
      <c r="O342" s="10"/>
      <c r="P342" s="10"/>
      <c r="Q342" s="281"/>
    </row>
    <row r="343" spans="2:17" ht="45" customHeight="1">
      <c r="B343" s="5" t="s">
        <v>972</v>
      </c>
      <c r="C343" s="283" t="s">
        <v>522</v>
      </c>
      <c r="D343" s="119" t="s">
        <v>523</v>
      </c>
      <c r="E343" s="207" t="s">
        <v>44</v>
      </c>
      <c r="F343" s="119">
        <v>512001</v>
      </c>
      <c r="G343" s="6" t="s">
        <v>81</v>
      </c>
      <c r="H343" s="309" t="s">
        <v>1418</v>
      </c>
      <c r="I343" s="131">
        <v>13</v>
      </c>
      <c r="J343" s="280" t="s">
        <v>116</v>
      </c>
      <c r="K343" s="207" t="s">
        <v>942</v>
      </c>
      <c r="L343" s="23"/>
      <c r="M343" s="10"/>
      <c r="N343" s="10"/>
      <c r="O343" s="10"/>
      <c r="P343" s="10"/>
      <c r="Q343" s="281"/>
    </row>
    <row r="344" spans="2:17" ht="15" customHeight="1">
      <c r="B344" s="5" t="s">
        <v>973</v>
      </c>
      <c r="C344" s="283" t="s">
        <v>522</v>
      </c>
      <c r="D344" s="119" t="s">
        <v>523</v>
      </c>
      <c r="E344" s="283" t="s">
        <v>37</v>
      </c>
      <c r="F344" s="119">
        <v>751201</v>
      </c>
      <c r="G344" s="119" t="s">
        <v>183</v>
      </c>
      <c r="H344" s="309" t="s">
        <v>1405</v>
      </c>
      <c r="I344" s="131">
        <v>3</v>
      </c>
      <c r="J344" s="280" t="s">
        <v>116</v>
      </c>
      <c r="K344" s="207" t="s">
        <v>942</v>
      </c>
      <c r="L344" s="23"/>
      <c r="M344" s="10"/>
      <c r="N344" s="10"/>
      <c r="O344" s="10"/>
      <c r="P344" s="10"/>
      <c r="Q344" s="281"/>
    </row>
    <row r="345" spans="2:17" ht="15" customHeight="1">
      <c r="B345" s="5" t="s">
        <v>974</v>
      </c>
      <c r="C345" s="283" t="s">
        <v>527</v>
      </c>
      <c r="D345" s="119" t="s">
        <v>528</v>
      </c>
      <c r="E345" s="207" t="s">
        <v>44</v>
      </c>
      <c r="F345" s="119">
        <v>512001</v>
      </c>
      <c r="G345" s="6" t="s">
        <v>81</v>
      </c>
      <c r="H345" s="160"/>
      <c r="I345" s="319">
        <v>0</v>
      </c>
      <c r="J345" s="280" t="s">
        <v>116</v>
      </c>
      <c r="K345" s="207" t="s">
        <v>942</v>
      </c>
      <c r="L345" s="20"/>
      <c r="M345" s="10"/>
      <c r="N345" s="10"/>
      <c r="O345" s="10"/>
      <c r="P345" s="10"/>
      <c r="Q345" s="281"/>
    </row>
    <row r="346" spans="2:17" customFormat="1" ht="15" customHeight="1">
      <c r="B346" s="5" t="s">
        <v>975</v>
      </c>
      <c r="C346" s="283" t="s">
        <v>527</v>
      </c>
      <c r="D346" s="5" t="s">
        <v>528</v>
      </c>
      <c r="E346" s="130" t="s">
        <v>38</v>
      </c>
      <c r="F346" s="119">
        <v>741103</v>
      </c>
      <c r="G346" s="119" t="s">
        <v>54</v>
      </c>
      <c r="H346" s="133"/>
      <c r="I346" s="131">
        <v>2</v>
      </c>
      <c r="J346" s="141" t="s">
        <v>61</v>
      </c>
      <c r="K346" s="121" t="s">
        <v>851</v>
      </c>
      <c r="L346" s="20"/>
      <c r="M346" s="7"/>
      <c r="N346" s="7"/>
      <c r="O346" s="7"/>
      <c r="P346" s="7"/>
      <c r="Q346" s="7"/>
    </row>
    <row r="347" spans="2:17" ht="30" customHeight="1">
      <c r="B347" s="5" t="s">
        <v>976</v>
      </c>
      <c r="C347" s="283" t="s">
        <v>527</v>
      </c>
      <c r="D347" s="119" t="s">
        <v>528</v>
      </c>
      <c r="E347" s="283" t="s">
        <v>37</v>
      </c>
      <c r="F347" s="119">
        <v>751201</v>
      </c>
      <c r="G347" s="119" t="s">
        <v>183</v>
      </c>
      <c r="H347" s="309" t="s">
        <v>1431</v>
      </c>
      <c r="I347" s="131">
        <v>4</v>
      </c>
      <c r="J347" s="280" t="s">
        <v>116</v>
      </c>
      <c r="K347" s="207" t="s">
        <v>942</v>
      </c>
      <c r="L347" s="20"/>
      <c r="M347" s="10"/>
      <c r="N347" s="10"/>
      <c r="O347" s="10"/>
      <c r="P347" s="10"/>
      <c r="Q347" s="281"/>
    </row>
    <row r="348" spans="2:17" ht="45" customHeight="1">
      <c r="B348" s="5" t="s">
        <v>977</v>
      </c>
      <c r="C348" s="283" t="s">
        <v>527</v>
      </c>
      <c r="D348" s="119" t="s">
        <v>528</v>
      </c>
      <c r="E348" s="283" t="s">
        <v>45</v>
      </c>
      <c r="F348" s="119">
        <v>522301</v>
      </c>
      <c r="G348" s="119" t="s">
        <v>43</v>
      </c>
      <c r="H348" s="309" t="s">
        <v>2341</v>
      </c>
      <c r="I348" s="131">
        <v>9</v>
      </c>
      <c r="J348" s="280" t="s">
        <v>116</v>
      </c>
      <c r="K348" s="207" t="s">
        <v>942</v>
      </c>
      <c r="L348" s="23"/>
      <c r="M348" s="10"/>
      <c r="N348" s="10"/>
      <c r="O348" s="10"/>
      <c r="P348" s="10"/>
      <c r="Q348" s="281"/>
    </row>
    <row r="349" spans="2:17" customFormat="1" ht="15" customHeight="1">
      <c r="B349" s="5" t="s">
        <v>978</v>
      </c>
      <c r="C349" s="283" t="s">
        <v>527</v>
      </c>
      <c r="D349" s="5" t="s">
        <v>528</v>
      </c>
      <c r="E349" s="283" t="s">
        <v>34</v>
      </c>
      <c r="F349" s="119">
        <v>723103</v>
      </c>
      <c r="G349" s="119" t="s">
        <v>75</v>
      </c>
      <c r="H349" s="119" t="s">
        <v>1341</v>
      </c>
      <c r="I349" s="131">
        <v>7</v>
      </c>
      <c r="J349" s="161" t="s">
        <v>566</v>
      </c>
      <c r="K349" s="122" t="s">
        <v>579</v>
      </c>
      <c r="L349" s="23"/>
      <c r="M349" s="7"/>
      <c r="N349" s="7"/>
      <c r="O349" s="7"/>
      <c r="P349" s="65"/>
      <c r="Q349" s="7"/>
    </row>
    <row r="350" spans="2:17" customFormat="1" ht="15" customHeight="1">
      <c r="B350" s="5" t="s">
        <v>979</v>
      </c>
      <c r="C350" s="283" t="s">
        <v>527</v>
      </c>
      <c r="D350" s="5" t="s">
        <v>528</v>
      </c>
      <c r="E350" s="130" t="s">
        <v>33</v>
      </c>
      <c r="F350" s="119">
        <v>752205</v>
      </c>
      <c r="G350" s="119" t="s">
        <v>69</v>
      </c>
      <c r="H350" s="119"/>
      <c r="I350" s="131">
        <v>3</v>
      </c>
      <c r="J350" s="141" t="s">
        <v>61</v>
      </c>
      <c r="K350" s="121" t="s">
        <v>851</v>
      </c>
      <c r="L350" s="23"/>
      <c r="M350" s="7"/>
      <c r="N350" s="7"/>
      <c r="O350" s="7"/>
      <c r="P350" s="7"/>
      <c r="Q350" s="7"/>
    </row>
    <row r="351" spans="2:17" customFormat="1" ht="15" customHeight="1">
      <c r="B351" s="5" t="s">
        <v>980</v>
      </c>
      <c r="C351" s="283" t="s">
        <v>527</v>
      </c>
      <c r="D351" s="5" t="s">
        <v>528</v>
      </c>
      <c r="E351" s="130" t="s">
        <v>1435</v>
      </c>
      <c r="F351" s="119">
        <v>713203</v>
      </c>
      <c r="G351" s="119" t="s">
        <v>66</v>
      </c>
      <c r="H351" s="119"/>
      <c r="I351" s="131">
        <v>1</v>
      </c>
      <c r="J351" s="141" t="s">
        <v>61</v>
      </c>
      <c r="K351" s="121" t="s">
        <v>851</v>
      </c>
      <c r="L351" s="23"/>
      <c r="M351" s="7"/>
      <c r="N351" s="7"/>
      <c r="O351" s="7"/>
      <c r="P351" s="7"/>
      <c r="Q351" s="7"/>
    </row>
    <row r="352" spans="2:17" customFormat="1" ht="15" customHeight="1">
      <c r="B352" s="5" t="s">
        <v>981</v>
      </c>
      <c r="C352" s="283" t="s">
        <v>527</v>
      </c>
      <c r="D352" s="5" t="s">
        <v>528</v>
      </c>
      <c r="E352" s="221" t="s">
        <v>198</v>
      </c>
      <c r="F352" s="119">
        <v>712618</v>
      </c>
      <c r="G352" s="119" t="s">
        <v>86</v>
      </c>
      <c r="H352" s="119"/>
      <c r="I352" s="131">
        <v>1</v>
      </c>
      <c r="J352" s="141" t="s">
        <v>61</v>
      </c>
      <c r="K352" s="121" t="s">
        <v>851</v>
      </c>
      <c r="L352" s="23"/>
      <c r="M352" s="7"/>
      <c r="N352" s="7"/>
      <c r="O352" s="7"/>
      <c r="P352" s="7"/>
      <c r="Q352" s="7"/>
    </row>
    <row r="353" spans="2:17" customFormat="1" ht="15" customHeight="1">
      <c r="B353" s="5" t="s">
        <v>982</v>
      </c>
      <c r="C353" s="283" t="s">
        <v>529</v>
      </c>
      <c r="D353" s="5" t="s">
        <v>530</v>
      </c>
      <c r="E353" s="283" t="s">
        <v>36</v>
      </c>
      <c r="F353" s="119">
        <v>514101</v>
      </c>
      <c r="G353" s="119" t="s">
        <v>77</v>
      </c>
      <c r="H353" s="133" t="s">
        <v>1413</v>
      </c>
      <c r="I353" s="131">
        <v>17</v>
      </c>
      <c r="J353" s="141" t="s">
        <v>1174</v>
      </c>
      <c r="K353" s="122" t="s">
        <v>849</v>
      </c>
      <c r="L353" s="20"/>
      <c r="M353" s="7"/>
      <c r="N353" s="18"/>
      <c r="O353" s="7"/>
      <c r="P353" s="7"/>
      <c r="Q353" s="7"/>
    </row>
    <row r="354" spans="2:17" customFormat="1" ht="15" customHeight="1">
      <c r="B354" s="5" t="s">
        <v>983</v>
      </c>
      <c r="C354" s="283" t="s">
        <v>529</v>
      </c>
      <c r="D354" s="5" t="s">
        <v>530</v>
      </c>
      <c r="E354" s="283" t="s">
        <v>45</v>
      </c>
      <c r="F354" s="119">
        <v>522301</v>
      </c>
      <c r="G354" s="119" t="s">
        <v>43</v>
      </c>
      <c r="H354" s="119" t="s">
        <v>1410</v>
      </c>
      <c r="I354" s="131">
        <v>3</v>
      </c>
      <c r="J354" s="141" t="s">
        <v>1174</v>
      </c>
      <c r="K354" s="122" t="s">
        <v>849</v>
      </c>
      <c r="L354" s="23"/>
      <c r="M354" s="7"/>
      <c r="N354" s="18"/>
      <c r="O354" s="7"/>
      <c r="P354" s="7"/>
      <c r="Q354" s="7"/>
    </row>
    <row r="355" spans="2:17" ht="30" customHeight="1">
      <c r="B355" s="5" t="s">
        <v>984</v>
      </c>
      <c r="C355" s="283" t="s">
        <v>529</v>
      </c>
      <c r="D355" s="119" t="s">
        <v>530</v>
      </c>
      <c r="E355" s="283" t="s">
        <v>34</v>
      </c>
      <c r="F355" s="119">
        <v>723103</v>
      </c>
      <c r="G355" s="119" t="s">
        <v>75</v>
      </c>
      <c r="H355" s="6" t="s">
        <v>2251</v>
      </c>
      <c r="I355" s="131">
        <v>18</v>
      </c>
      <c r="J355" s="280" t="s">
        <v>1174</v>
      </c>
      <c r="K355" s="207" t="s">
        <v>849</v>
      </c>
      <c r="L355" s="23"/>
      <c r="M355" s="7"/>
      <c r="N355" s="18"/>
      <c r="O355" s="7"/>
      <c r="P355" s="7"/>
      <c r="Q355" s="7"/>
    </row>
    <row r="356" spans="2:17" ht="30" customHeight="1">
      <c r="B356" s="5" t="s">
        <v>985</v>
      </c>
      <c r="C356" s="283" t="s">
        <v>529</v>
      </c>
      <c r="D356" s="119" t="s">
        <v>530</v>
      </c>
      <c r="E356" s="207" t="s">
        <v>44</v>
      </c>
      <c r="F356" s="119">
        <v>512001</v>
      </c>
      <c r="G356" s="6" t="s">
        <v>81</v>
      </c>
      <c r="H356" s="6" t="s">
        <v>2249</v>
      </c>
      <c r="I356" s="131">
        <v>10</v>
      </c>
      <c r="J356" s="280" t="s">
        <v>1174</v>
      </c>
      <c r="K356" s="207" t="s">
        <v>849</v>
      </c>
      <c r="L356" s="23"/>
      <c r="M356" s="7"/>
      <c r="N356" s="18"/>
      <c r="O356" s="7"/>
      <c r="P356" s="7"/>
      <c r="Q356" s="7"/>
    </row>
    <row r="357" spans="2:17" customFormat="1" ht="15" customHeight="1">
      <c r="B357" s="5" t="s">
        <v>986</v>
      </c>
      <c r="C357" s="283" t="s">
        <v>529</v>
      </c>
      <c r="D357" s="5" t="s">
        <v>530</v>
      </c>
      <c r="E357" s="130" t="s">
        <v>37</v>
      </c>
      <c r="F357" s="119">
        <v>751201</v>
      </c>
      <c r="G357" s="119" t="s">
        <v>183</v>
      </c>
      <c r="H357" s="119" t="s">
        <v>1411</v>
      </c>
      <c r="I357" s="131">
        <v>8</v>
      </c>
      <c r="J357" s="141" t="s">
        <v>1174</v>
      </c>
      <c r="K357" s="122" t="s">
        <v>849</v>
      </c>
      <c r="L357" s="23"/>
      <c r="M357" s="7"/>
      <c r="N357" s="18"/>
      <c r="O357" s="7"/>
      <c r="P357" s="7"/>
      <c r="Q357" s="7"/>
    </row>
    <row r="358" spans="2:17" customFormat="1" ht="15" customHeight="1">
      <c r="B358" s="5" t="s">
        <v>987</v>
      </c>
      <c r="C358" s="283" t="s">
        <v>529</v>
      </c>
      <c r="D358" s="5" t="s">
        <v>530</v>
      </c>
      <c r="E358" s="130" t="s">
        <v>57</v>
      </c>
      <c r="F358" s="119">
        <v>751204</v>
      </c>
      <c r="G358" s="119" t="s">
        <v>68</v>
      </c>
      <c r="H358" s="119" t="s">
        <v>1348</v>
      </c>
      <c r="I358" s="145">
        <v>1</v>
      </c>
      <c r="J358" s="141" t="s">
        <v>59</v>
      </c>
      <c r="K358" s="122" t="s">
        <v>105</v>
      </c>
      <c r="L358" s="28"/>
      <c r="M358" s="7"/>
      <c r="N358" s="7"/>
      <c r="O358" s="7"/>
      <c r="P358" s="7"/>
      <c r="Q358" s="7"/>
    </row>
    <row r="359" spans="2:17" customFormat="1" ht="15" customHeight="1">
      <c r="B359" s="5" t="s">
        <v>988</v>
      </c>
      <c r="C359" s="283" t="s">
        <v>529</v>
      </c>
      <c r="D359" s="5" t="s">
        <v>530</v>
      </c>
      <c r="E359" s="130" t="s">
        <v>38</v>
      </c>
      <c r="F359" s="119">
        <v>741103</v>
      </c>
      <c r="G359" s="119" t="s">
        <v>54</v>
      </c>
      <c r="H359" s="119" t="s">
        <v>2394</v>
      </c>
      <c r="I359" s="145">
        <v>3</v>
      </c>
      <c r="J359" s="141" t="s">
        <v>59</v>
      </c>
      <c r="K359" s="122" t="s">
        <v>105</v>
      </c>
      <c r="L359" s="21"/>
      <c r="M359" s="7"/>
      <c r="N359" s="7"/>
      <c r="O359" s="7"/>
      <c r="P359" s="7"/>
      <c r="Q359" s="7"/>
    </row>
    <row r="360" spans="2:17" customFormat="1" ht="15" customHeight="1">
      <c r="B360" s="5" t="s">
        <v>989</v>
      </c>
      <c r="C360" s="283" t="s">
        <v>529</v>
      </c>
      <c r="D360" s="5" t="s">
        <v>530</v>
      </c>
      <c r="E360" s="130" t="s">
        <v>53</v>
      </c>
      <c r="F360" s="119">
        <v>741203</v>
      </c>
      <c r="G360" s="119" t="s">
        <v>64</v>
      </c>
      <c r="H360" s="119" t="s">
        <v>1349</v>
      </c>
      <c r="I360" s="145">
        <v>2</v>
      </c>
      <c r="J360" s="141" t="s">
        <v>59</v>
      </c>
      <c r="K360" s="122" t="s">
        <v>105</v>
      </c>
      <c r="L360" s="21"/>
      <c r="M360" s="7"/>
      <c r="N360" s="7"/>
      <c r="O360" s="7"/>
      <c r="P360" s="7"/>
      <c r="Q360" s="7"/>
    </row>
    <row r="361" spans="2:17" customFormat="1" ht="15" customHeight="1">
      <c r="B361" s="5" t="s">
        <v>990</v>
      </c>
      <c r="C361" s="283" t="s">
        <v>529</v>
      </c>
      <c r="D361" s="5" t="s">
        <v>530</v>
      </c>
      <c r="E361" s="130" t="s">
        <v>52</v>
      </c>
      <c r="F361" s="119">
        <v>721306</v>
      </c>
      <c r="G361" s="119" t="s">
        <v>63</v>
      </c>
      <c r="H361" s="119" t="s">
        <v>2394</v>
      </c>
      <c r="I361" s="145">
        <v>1</v>
      </c>
      <c r="J361" s="141" t="s">
        <v>59</v>
      </c>
      <c r="K361" s="122" t="s">
        <v>105</v>
      </c>
      <c r="L361" s="21"/>
      <c r="M361" s="7"/>
      <c r="N361" s="7"/>
      <c r="O361" s="7"/>
      <c r="P361" s="7"/>
      <c r="Q361" s="7"/>
    </row>
    <row r="362" spans="2:17" customFormat="1" ht="15" customHeight="1">
      <c r="B362" s="5" t="s">
        <v>991</v>
      </c>
      <c r="C362" s="283" t="s">
        <v>529</v>
      </c>
      <c r="D362" s="5" t="s">
        <v>530</v>
      </c>
      <c r="E362" s="130" t="s">
        <v>1435</v>
      </c>
      <c r="F362" s="119">
        <v>713203</v>
      </c>
      <c r="G362" s="119" t="s">
        <v>66</v>
      </c>
      <c r="H362" s="119" t="s">
        <v>1344</v>
      </c>
      <c r="I362" s="145">
        <v>3</v>
      </c>
      <c r="J362" s="141" t="s">
        <v>59</v>
      </c>
      <c r="K362" s="122" t="s">
        <v>105</v>
      </c>
      <c r="L362" s="21"/>
      <c r="M362" s="7"/>
      <c r="N362" s="7"/>
      <c r="O362" s="7"/>
      <c r="P362" s="7"/>
      <c r="Q362" s="7"/>
    </row>
    <row r="363" spans="2:17" customFormat="1" ht="15" customHeight="1">
      <c r="B363" s="5" t="s">
        <v>992</v>
      </c>
      <c r="C363" s="283" t="s">
        <v>529</v>
      </c>
      <c r="D363" s="5" t="s">
        <v>530</v>
      </c>
      <c r="E363" s="130" t="s">
        <v>273</v>
      </c>
      <c r="F363" s="119">
        <v>613003</v>
      </c>
      <c r="G363" s="119" t="s">
        <v>542</v>
      </c>
      <c r="H363" s="277"/>
      <c r="I363" s="319">
        <v>0</v>
      </c>
      <c r="J363" s="141" t="s">
        <v>61</v>
      </c>
      <c r="K363" s="121" t="s">
        <v>851</v>
      </c>
      <c r="L363" s="23"/>
      <c r="M363" s="7"/>
      <c r="N363" s="7"/>
      <c r="O363" s="7"/>
      <c r="P363" s="7"/>
      <c r="Q363" s="7"/>
    </row>
    <row r="364" spans="2:17" customFormat="1" ht="15" customHeight="1">
      <c r="B364" s="5" t="s">
        <v>993</v>
      </c>
      <c r="C364" s="283" t="s">
        <v>531</v>
      </c>
      <c r="D364" s="5" t="s">
        <v>532</v>
      </c>
      <c r="E364" s="130" t="s">
        <v>52</v>
      </c>
      <c r="F364" s="119">
        <v>721306</v>
      </c>
      <c r="G364" s="119" t="s">
        <v>63</v>
      </c>
      <c r="H364" s="119" t="s">
        <v>2394</v>
      </c>
      <c r="I364" s="145">
        <v>3</v>
      </c>
      <c r="J364" s="141" t="s">
        <v>59</v>
      </c>
      <c r="K364" s="122" t="s">
        <v>105</v>
      </c>
      <c r="L364" s="24"/>
      <c r="M364" s="7"/>
      <c r="N364" s="7"/>
      <c r="O364" s="7"/>
      <c r="P364" s="7"/>
      <c r="Q364" s="7"/>
    </row>
    <row r="365" spans="2:17" customFormat="1" ht="15" customHeight="1">
      <c r="B365" s="5" t="s">
        <v>994</v>
      </c>
      <c r="C365" s="283" t="s">
        <v>531</v>
      </c>
      <c r="D365" s="5" t="s">
        <v>532</v>
      </c>
      <c r="E365" s="130" t="s">
        <v>37</v>
      </c>
      <c r="F365" s="119">
        <v>751201</v>
      </c>
      <c r="G365" s="119" t="s">
        <v>183</v>
      </c>
      <c r="H365" s="119" t="s">
        <v>2415</v>
      </c>
      <c r="I365" s="131">
        <v>13</v>
      </c>
      <c r="J365" s="141" t="s">
        <v>117</v>
      </c>
      <c r="K365" s="122" t="s">
        <v>943</v>
      </c>
      <c r="L365" s="25"/>
      <c r="M365" s="7"/>
      <c r="N365" s="7"/>
      <c r="O365" s="7"/>
      <c r="P365" s="7"/>
      <c r="Q365" s="7"/>
    </row>
    <row r="366" spans="2:17" customFormat="1" ht="15" customHeight="1">
      <c r="B366" s="5" t="s">
        <v>995</v>
      </c>
      <c r="C366" s="283" t="s">
        <v>531</v>
      </c>
      <c r="D366" s="5" t="s">
        <v>532</v>
      </c>
      <c r="E366" s="130" t="s">
        <v>46</v>
      </c>
      <c r="F366" s="119">
        <v>741201</v>
      </c>
      <c r="G366" s="119" t="s">
        <v>182</v>
      </c>
      <c r="H366" s="119" t="s">
        <v>1344</v>
      </c>
      <c r="I366" s="131">
        <v>1</v>
      </c>
      <c r="J366" s="141" t="s">
        <v>61</v>
      </c>
      <c r="K366" s="121" t="s">
        <v>851</v>
      </c>
      <c r="L366" s="25"/>
      <c r="M366" s="7"/>
      <c r="N366" s="7"/>
      <c r="O366" s="7"/>
      <c r="P366" s="7"/>
      <c r="Q366" s="7"/>
    </row>
    <row r="367" spans="2:17" customFormat="1" ht="15" customHeight="1">
      <c r="B367" s="5" t="s">
        <v>996</v>
      </c>
      <c r="C367" s="283" t="s">
        <v>531</v>
      </c>
      <c r="D367" s="5" t="s">
        <v>532</v>
      </c>
      <c r="E367" s="130" t="s">
        <v>53</v>
      </c>
      <c r="F367" s="119">
        <v>741203</v>
      </c>
      <c r="G367" s="119" t="s">
        <v>64</v>
      </c>
      <c r="H367" s="119" t="s">
        <v>1349</v>
      </c>
      <c r="I367" s="145">
        <v>4</v>
      </c>
      <c r="J367" s="141" t="s">
        <v>59</v>
      </c>
      <c r="K367" s="122" t="s">
        <v>105</v>
      </c>
      <c r="L367" s="24"/>
      <c r="M367" s="7"/>
      <c r="N367" s="7"/>
      <c r="O367" s="7"/>
      <c r="P367" s="7"/>
      <c r="Q367" s="7"/>
    </row>
    <row r="368" spans="2:17" customFormat="1" ht="15" customHeight="1">
      <c r="B368" s="5" t="s">
        <v>997</v>
      </c>
      <c r="C368" s="283" t="s">
        <v>531</v>
      </c>
      <c r="D368" s="5" t="s">
        <v>532</v>
      </c>
      <c r="E368" s="130" t="s">
        <v>38</v>
      </c>
      <c r="F368" s="119">
        <v>741103</v>
      </c>
      <c r="G368" s="119" t="s">
        <v>54</v>
      </c>
      <c r="H368" s="119" t="s">
        <v>2331</v>
      </c>
      <c r="I368" s="131">
        <v>6</v>
      </c>
      <c r="J368" s="141" t="s">
        <v>117</v>
      </c>
      <c r="K368" s="122" t="s">
        <v>943</v>
      </c>
      <c r="L368" s="27"/>
      <c r="M368" s="7"/>
      <c r="N368" s="7"/>
      <c r="O368" s="7"/>
      <c r="P368" s="7"/>
      <c r="Q368" s="7"/>
    </row>
    <row r="369" spans="2:19" ht="30">
      <c r="B369" s="5" t="s">
        <v>998</v>
      </c>
      <c r="C369" s="283" t="s">
        <v>531</v>
      </c>
      <c r="D369" s="119" t="s">
        <v>532</v>
      </c>
      <c r="E369" s="283" t="s">
        <v>36</v>
      </c>
      <c r="F369" s="119">
        <v>514101</v>
      </c>
      <c r="G369" s="119" t="s">
        <v>77</v>
      </c>
      <c r="H369" s="6" t="s">
        <v>2416</v>
      </c>
      <c r="I369" s="131">
        <v>40</v>
      </c>
      <c r="J369" s="280" t="s">
        <v>117</v>
      </c>
      <c r="K369" s="207" t="s">
        <v>943</v>
      </c>
      <c r="L369" s="27"/>
      <c r="M369" s="7"/>
      <c r="N369" s="7"/>
      <c r="O369" s="7"/>
      <c r="P369" s="7"/>
      <c r="Q369" s="7"/>
    </row>
    <row r="370" spans="2:19" customFormat="1" ht="15" customHeight="1">
      <c r="B370" s="5" t="s">
        <v>999</v>
      </c>
      <c r="C370" s="283" t="s">
        <v>531</v>
      </c>
      <c r="D370" s="5" t="s">
        <v>532</v>
      </c>
      <c r="E370" s="207" t="s">
        <v>44</v>
      </c>
      <c r="F370" s="119">
        <v>512001</v>
      </c>
      <c r="G370" s="6" t="s">
        <v>81</v>
      </c>
      <c r="H370" s="119" t="s">
        <v>2248</v>
      </c>
      <c r="I370" s="131">
        <v>14</v>
      </c>
      <c r="J370" s="141" t="s">
        <v>117</v>
      </c>
      <c r="K370" s="122" t="s">
        <v>943</v>
      </c>
      <c r="L370" s="27"/>
      <c r="M370" s="7"/>
      <c r="N370" s="7"/>
      <c r="O370" s="7"/>
      <c r="P370" s="7"/>
      <c r="Q370" s="7"/>
    </row>
    <row r="371" spans="2:19" customFormat="1" ht="15" customHeight="1">
      <c r="B371" s="5" t="s">
        <v>1000</v>
      </c>
      <c r="C371" s="283" t="s">
        <v>531</v>
      </c>
      <c r="D371" s="5" t="s">
        <v>532</v>
      </c>
      <c r="E371" s="130" t="s">
        <v>1435</v>
      </c>
      <c r="F371" s="119">
        <v>713203</v>
      </c>
      <c r="G371" s="119" t="s">
        <v>66</v>
      </c>
      <c r="H371" s="119" t="s">
        <v>1409</v>
      </c>
      <c r="I371" s="131">
        <v>9</v>
      </c>
      <c r="J371" s="141" t="s">
        <v>117</v>
      </c>
      <c r="K371" s="122" t="s">
        <v>943</v>
      </c>
      <c r="L371" s="27"/>
      <c r="M371" s="7"/>
      <c r="N371" s="7"/>
      <c r="O371" s="7"/>
      <c r="P371" s="7"/>
      <c r="Q371" s="7"/>
    </row>
    <row r="372" spans="2:19" ht="38.25" customHeight="1">
      <c r="B372" s="5" t="s">
        <v>1001</v>
      </c>
      <c r="C372" s="283" t="s">
        <v>531</v>
      </c>
      <c r="D372" s="119" t="s">
        <v>532</v>
      </c>
      <c r="E372" s="283" t="s">
        <v>34</v>
      </c>
      <c r="F372" s="119">
        <v>723103</v>
      </c>
      <c r="G372" s="119" t="s">
        <v>75</v>
      </c>
      <c r="H372" s="6" t="s">
        <v>2417</v>
      </c>
      <c r="I372" s="131">
        <v>35</v>
      </c>
      <c r="J372" s="280" t="s">
        <v>117</v>
      </c>
      <c r="K372" s="207" t="s">
        <v>943</v>
      </c>
      <c r="L372" s="27"/>
      <c r="M372" s="7"/>
      <c r="N372" s="7"/>
      <c r="O372" s="7"/>
      <c r="P372" s="7"/>
      <c r="Q372" s="7"/>
    </row>
    <row r="373" spans="2:19" customFormat="1" ht="15" customHeight="1">
      <c r="B373" s="5" t="s">
        <v>1002</v>
      </c>
      <c r="C373" s="283" t="s">
        <v>531</v>
      </c>
      <c r="D373" s="5" t="s">
        <v>532</v>
      </c>
      <c r="E373" s="130" t="s">
        <v>533</v>
      </c>
      <c r="F373" s="119">
        <v>723310</v>
      </c>
      <c r="G373" s="119" t="s">
        <v>282</v>
      </c>
      <c r="H373" s="367" t="s">
        <v>2361</v>
      </c>
      <c r="I373" s="131">
        <v>6</v>
      </c>
      <c r="J373" s="141" t="s">
        <v>117</v>
      </c>
      <c r="K373" s="122" t="s">
        <v>943</v>
      </c>
      <c r="L373" s="27"/>
      <c r="M373" s="7"/>
      <c r="N373" s="7"/>
      <c r="O373" s="7"/>
      <c r="P373" s="7"/>
      <c r="Q373" s="7"/>
      <c r="S373" t="s">
        <v>2385</v>
      </c>
    </row>
    <row r="374" spans="2:19" customFormat="1" ht="15" customHeight="1">
      <c r="B374" s="5" t="s">
        <v>1003</v>
      </c>
      <c r="C374" s="283" t="s">
        <v>531</v>
      </c>
      <c r="D374" s="5" t="s">
        <v>532</v>
      </c>
      <c r="E374" s="221" t="s">
        <v>198</v>
      </c>
      <c r="F374" s="119">
        <v>712618</v>
      </c>
      <c r="G374" s="119" t="s">
        <v>86</v>
      </c>
      <c r="H374" s="119" t="s">
        <v>1434</v>
      </c>
      <c r="I374" s="131">
        <v>9</v>
      </c>
      <c r="J374" s="141" t="s">
        <v>117</v>
      </c>
      <c r="K374" s="122" t="s">
        <v>943</v>
      </c>
      <c r="L374" s="27"/>
      <c r="M374" s="7"/>
      <c r="N374" s="7"/>
      <c r="O374" s="7"/>
      <c r="P374" s="7"/>
      <c r="Q374" s="7"/>
    </row>
    <row r="375" spans="2:19" customFormat="1" ht="15" customHeight="1">
      <c r="B375" s="5" t="s">
        <v>1004</v>
      </c>
      <c r="C375" s="283" t="s">
        <v>531</v>
      </c>
      <c r="D375" s="5" t="s">
        <v>532</v>
      </c>
      <c r="E375" s="130" t="s">
        <v>56</v>
      </c>
      <c r="F375" s="119">
        <v>712905</v>
      </c>
      <c r="G375" s="119" t="s">
        <v>67</v>
      </c>
      <c r="H375" s="119" t="s">
        <v>1345</v>
      </c>
      <c r="I375" s="131">
        <v>2</v>
      </c>
      <c r="J375" s="141" t="s">
        <v>61</v>
      </c>
      <c r="K375" s="121" t="s">
        <v>851</v>
      </c>
      <c r="L375" s="27"/>
      <c r="M375" s="7"/>
      <c r="N375" s="7"/>
      <c r="O375" s="7"/>
      <c r="P375" s="7"/>
      <c r="Q375" s="7"/>
    </row>
    <row r="376" spans="2:19" customFormat="1" ht="15" customHeight="1">
      <c r="B376" s="5" t="s">
        <v>1005</v>
      </c>
      <c r="C376" s="283" t="s">
        <v>531</v>
      </c>
      <c r="D376" s="5" t="s">
        <v>532</v>
      </c>
      <c r="E376" s="130" t="s">
        <v>103</v>
      </c>
      <c r="F376" s="119">
        <v>722307</v>
      </c>
      <c r="G376" s="119" t="s">
        <v>83</v>
      </c>
      <c r="H376" s="119"/>
      <c r="I376" s="319">
        <v>0</v>
      </c>
      <c r="J376" s="141"/>
      <c r="K376" s="221"/>
      <c r="L376" s="27"/>
      <c r="M376" s="7"/>
      <c r="N376" s="7"/>
      <c r="O376" s="7"/>
      <c r="P376" s="7"/>
      <c r="Q376" s="7"/>
    </row>
    <row r="377" spans="2:19" customFormat="1" ht="15" customHeight="1">
      <c r="B377" s="5" t="s">
        <v>1006</v>
      </c>
      <c r="C377" s="283" t="s">
        <v>531</v>
      </c>
      <c r="D377" s="5" t="s">
        <v>532</v>
      </c>
      <c r="E377" s="130" t="s">
        <v>57</v>
      </c>
      <c r="F377" s="119">
        <v>751204</v>
      </c>
      <c r="G377" s="119" t="s">
        <v>68</v>
      </c>
      <c r="H377" s="119" t="s">
        <v>1348</v>
      </c>
      <c r="I377" s="145">
        <v>1</v>
      </c>
      <c r="J377" s="141" t="s">
        <v>59</v>
      </c>
      <c r="K377" s="122" t="s">
        <v>105</v>
      </c>
      <c r="L377" s="24"/>
      <c r="M377" s="7"/>
      <c r="N377" s="7"/>
      <c r="O377" s="7"/>
      <c r="P377" s="7"/>
      <c r="Q377" s="7"/>
    </row>
    <row r="378" spans="2:19" customFormat="1" ht="15" customHeight="1">
      <c r="B378" s="5" t="s">
        <v>1007</v>
      </c>
      <c r="C378" s="283" t="s">
        <v>531</v>
      </c>
      <c r="D378" s="5" t="s">
        <v>532</v>
      </c>
      <c r="E378" s="283" t="s">
        <v>45</v>
      </c>
      <c r="F378" s="119">
        <v>522301</v>
      </c>
      <c r="G378" s="119" t="s">
        <v>43</v>
      </c>
      <c r="H378" s="119"/>
      <c r="I378" s="319">
        <v>0</v>
      </c>
      <c r="J378" s="141"/>
      <c r="K378" s="221"/>
      <c r="L378" s="27"/>
      <c r="M378" s="7"/>
      <c r="N378" s="7"/>
      <c r="O378" s="7"/>
      <c r="P378" s="7"/>
      <c r="Q378" s="7"/>
    </row>
    <row r="379" spans="2:19" customFormat="1" ht="15" customHeight="1">
      <c r="B379" s="5" t="s">
        <v>1008</v>
      </c>
      <c r="C379" s="283" t="s">
        <v>531</v>
      </c>
      <c r="D379" s="5" t="s">
        <v>532</v>
      </c>
      <c r="E379" s="130" t="s">
        <v>33</v>
      </c>
      <c r="F379" s="119">
        <v>752205</v>
      </c>
      <c r="G379" s="119" t="s">
        <v>69</v>
      </c>
      <c r="H379" s="119" t="s">
        <v>2415</v>
      </c>
      <c r="I379" s="131">
        <v>6</v>
      </c>
      <c r="J379" s="141" t="s">
        <v>117</v>
      </c>
      <c r="K379" s="122" t="s">
        <v>943</v>
      </c>
      <c r="L379" s="27"/>
      <c r="M379" s="7"/>
      <c r="N379" s="7"/>
      <c r="O379" s="7"/>
      <c r="P379" s="7"/>
      <c r="Q379" s="7"/>
    </row>
    <row r="380" spans="2:19" ht="36" customHeight="1">
      <c r="B380" s="5" t="s">
        <v>1009</v>
      </c>
      <c r="C380" s="283" t="s">
        <v>531</v>
      </c>
      <c r="D380" s="119" t="s">
        <v>532</v>
      </c>
      <c r="E380" s="283" t="s">
        <v>58</v>
      </c>
      <c r="F380" s="119">
        <v>753402</v>
      </c>
      <c r="G380" s="119" t="s">
        <v>70</v>
      </c>
      <c r="H380" s="6" t="s">
        <v>2418</v>
      </c>
      <c r="I380" s="131">
        <v>17</v>
      </c>
      <c r="J380" s="280" t="s">
        <v>117</v>
      </c>
      <c r="K380" s="207" t="s">
        <v>943</v>
      </c>
      <c r="L380" s="27"/>
      <c r="M380" s="10"/>
      <c r="N380" s="10"/>
      <c r="O380" s="10"/>
      <c r="P380" s="10"/>
      <c r="Q380" s="10"/>
    </row>
    <row r="381" spans="2:19">
      <c r="B381" s="5" t="s">
        <v>1010</v>
      </c>
      <c r="C381" s="283" t="s">
        <v>531</v>
      </c>
      <c r="D381" s="5" t="s">
        <v>532</v>
      </c>
      <c r="E381" s="130" t="s">
        <v>206</v>
      </c>
      <c r="F381" s="119">
        <v>722204</v>
      </c>
      <c r="G381" s="119" t="s">
        <v>185</v>
      </c>
      <c r="H381" s="119" t="s">
        <v>2394</v>
      </c>
      <c r="I381" s="145">
        <v>1</v>
      </c>
      <c r="J381" s="141" t="s">
        <v>59</v>
      </c>
      <c r="K381" s="221" t="s">
        <v>105</v>
      </c>
      <c r="L381" s="27"/>
      <c r="M381" s="360"/>
      <c r="N381" s="360"/>
      <c r="O381" s="360"/>
      <c r="P381" s="360"/>
      <c r="Q381" s="360"/>
    </row>
    <row r="382" spans="2:19" customFormat="1" ht="15" customHeight="1">
      <c r="B382" s="5" t="s">
        <v>1011</v>
      </c>
      <c r="C382" s="283" t="s">
        <v>534</v>
      </c>
      <c r="D382" s="5" t="s">
        <v>535</v>
      </c>
      <c r="E382" s="207" t="s">
        <v>44</v>
      </c>
      <c r="F382" s="119">
        <v>512001</v>
      </c>
      <c r="G382" s="6" t="s">
        <v>81</v>
      </c>
      <c r="H382" s="133" t="s">
        <v>1344</v>
      </c>
      <c r="I382" s="145">
        <v>10</v>
      </c>
      <c r="J382" s="141" t="s">
        <v>59</v>
      </c>
      <c r="K382" s="122" t="s">
        <v>105</v>
      </c>
      <c r="L382" s="19"/>
      <c r="M382" s="7"/>
      <c r="N382" s="7"/>
      <c r="O382" s="7"/>
      <c r="P382" s="7"/>
      <c r="Q382" s="7"/>
    </row>
    <row r="383" spans="2:19" customFormat="1" ht="15" customHeight="1">
      <c r="B383" s="5" t="s">
        <v>1012</v>
      </c>
      <c r="C383" s="283" t="s">
        <v>534</v>
      </c>
      <c r="D383" s="5" t="s">
        <v>535</v>
      </c>
      <c r="E383" s="283" t="s">
        <v>36</v>
      </c>
      <c r="F383" s="119">
        <v>514101</v>
      </c>
      <c r="G383" s="119" t="s">
        <v>77</v>
      </c>
      <c r="H383" s="133" t="s">
        <v>1344</v>
      </c>
      <c r="I383" s="145">
        <v>17</v>
      </c>
      <c r="J383" s="141" t="s">
        <v>59</v>
      </c>
      <c r="K383" s="122" t="s">
        <v>105</v>
      </c>
      <c r="L383" s="19"/>
      <c r="M383" s="7"/>
      <c r="N383" s="7"/>
      <c r="O383" s="7"/>
      <c r="P383" s="7"/>
      <c r="Q383" s="7"/>
    </row>
    <row r="384" spans="2:19" customFormat="1" ht="15" customHeight="1">
      <c r="B384" s="5" t="s">
        <v>1013</v>
      </c>
      <c r="C384" s="283" t="s">
        <v>534</v>
      </c>
      <c r="D384" s="5" t="s">
        <v>535</v>
      </c>
      <c r="E384" s="283" t="s">
        <v>45</v>
      </c>
      <c r="F384" s="119">
        <v>522301</v>
      </c>
      <c r="G384" s="119" t="s">
        <v>43</v>
      </c>
      <c r="H384" s="119" t="s">
        <v>1345</v>
      </c>
      <c r="I384" s="145">
        <v>9</v>
      </c>
      <c r="J384" s="141" t="s">
        <v>59</v>
      </c>
      <c r="K384" s="122" t="s">
        <v>105</v>
      </c>
      <c r="L384" s="21"/>
      <c r="M384" s="7"/>
      <c r="N384" s="7"/>
      <c r="O384" s="7"/>
      <c r="P384" s="7"/>
      <c r="Q384" s="7"/>
    </row>
    <row r="385" spans="2:17" customFormat="1" ht="15" customHeight="1">
      <c r="B385" s="5" t="s">
        <v>1014</v>
      </c>
      <c r="C385" s="283" t="s">
        <v>534</v>
      </c>
      <c r="D385" s="5" t="s">
        <v>535</v>
      </c>
      <c r="E385" s="283" t="s">
        <v>34</v>
      </c>
      <c r="F385" s="119">
        <v>723103</v>
      </c>
      <c r="G385" s="119" t="s">
        <v>75</v>
      </c>
      <c r="H385" s="133" t="s">
        <v>1348</v>
      </c>
      <c r="I385" s="145">
        <v>17</v>
      </c>
      <c r="J385" s="141" t="s">
        <v>59</v>
      </c>
      <c r="K385" s="122" t="s">
        <v>105</v>
      </c>
      <c r="L385" s="21"/>
      <c r="M385" s="7"/>
      <c r="N385" s="7"/>
      <c r="O385" s="7"/>
      <c r="P385" s="7"/>
      <c r="Q385" s="7"/>
    </row>
    <row r="386" spans="2:17" customFormat="1" ht="15" customHeight="1">
      <c r="B386" s="5" t="s">
        <v>1015</v>
      </c>
      <c r="C386" s="283" t="s">
        <v>534</v>
      </c>
      <c r="D386" s="5" t="s">
        <v>535</v>
      </c>
      <c r="E386" s="130" t="s">
        <v>37</v>
      </c>
      <c r="F386" s="119">
        <v>751201</v>
      </c>
      <c r="G386" s="119" t="s">
        <v>183</v>
      </c>
      <c r="H386" s="119" t="s">
        <v>1349</v>
      </c>
      <c r="I386" s="145">
        <v>1</v>
      </c>
      <c r="J386" s="141" t="s">
        <v>59</v>
      </c>
      <c r="K386" s="122" t="s">
        <v>105</v>
      </c>
      <c r="L386" s="21"/>
      <c r="M386" s="7"/>
      <c r="N386" s="7"/>
      <c r="O386" s="7"/>
      <c r="P386" s="7"/>
      <c r="Q386" s="7"/>
    </row>
    <row r="387" spans="2:17" customFormat="1" ht="15" customHeight="1">
      <c r="B387" s="5" t="s">
        <v>1016</v>
      </c>
      <c r="C387" s="283" t="s">
        <v>534</v>
      </c>
      <c r="D387" s="5" t="s">
        <v>535</v>
      </c>
      <c r="E387" s="130" t="s">
        <v>206</v>
      </c>
      <c r="F387" s="119">
        <v>722204</v>
      </c>
      <c r="G387" s="119" t="s">
        <v>185</v>
      </c>
      <c r="H387" s="119" t="s">
        <v>1343</v>
      </c>
      <c r="I387" s="145">
        <v>4</v>
      </c>
      <c r="J387" s="141" t="s">
        <v>59</v>
      </c>
      <c r="K387" s="122" t="s">
        <v>105</v>
      </c>
      <c r="L387" s="21"/>
      <c r="M387" s="7"/>
      <c r="N387" s="7"/>
      <c r="O387" s="7"/>
      <c r="P387" s="7"/>
      <c r="Q387" s="7"/>
    </row>
    <row r="388" spans="2:17" customFormat="1" ht="15" customHeight="1">
      <c r="B388" s="5" t="s">
        <v>1017</v>
      </c>
      <c r="C388" s="283" t="s">
        <v>534</v>
      </c>
      <c r="D388" s="5" t="s">
        <v>535</v>
      </c>
      <c r="E388" s="130" t="s">
        <v>103</v>
      </c>
      <c r="F388" s="119">
        <v>722307</v>
      </c>
      <c r="G388" s="119" t="s">
        <v>83</v>
      </c>
      <c r="H388" s="119" t="s">
        <v>1349</v>
      </c>
      <c r="I388" s="145">
        <v>1</v>
      </c>
      <c r="J388" s="141" t="s">
        <v>59</v>
      </c>
      <c r="K388" s="122" t="s">
        <v>105</v>
      </c>
      <c r="L388" s="21"/>
      <c r="M388" s="7"/>
      <c r="N388" s="7"/>
      <c r="O388" s="7"/>
      <c r="P388" s="7"/>
      <c r="Q388" s="7"/>
    </row>
    <row r="389" spans="2:17" customFormat="1" ht="15" customHeight="1">
      <c r="B389" s="5" t="s">
        <v>1018</v>
      </c>
      <c r="C389" s="283" t="s">
        <v>534</v>
      </c>
      <c r="D389" s="5" t="s">
        <v>535</v>
      </c>
      <c r="E389" s="130" t="s">
        <v>57</v>
      </c>
      <c r="F389" s="119">
        <v>751204</v>
      </c>
      <c r="G389" s="119" t="s">
        <v>68</v>
      </c>
      <c r="H389" s="119" t="s">
        <v>1348</v>
      </c>
      <c r="I389" s="145">
        <v>4</v>
      </c>
      <c r="J389" s="141" t="s">
        <v>59</v>
      </c>
      <c r="K389" s="122" t="s">
        <v>105</v>
      </c>
      <c r="L389" s="21"/>
      <c r="M389" s="7"/>
      <c r="N389" s="7"/>
      <c r="O389" s="7"/>
      <c r="P389" s="7"/>
      <c r="Q389" s="7"/>
    </row>
    <row r="390" spans="2:17" customFormat="1" ht="15" customHeight="1">
      <c r="B390" s="5" t="s">
        <v>1019</v>
      </c>
      <c r="C390" s="283" t="s">
        <v>534</v>
      </c>
      <c r="D390" s="291" t="s">
        <v>535</v>
      </c>
      <c r="E390" s="130" t="s">
        <v>536</v>
      </c>
      <c r="F390" s="119">
        <v>711301</v>
      </c>
      <c r="G390" s="119" t="s">
        <v>537</v>
      </c>
      <c r="H390" s="119" t="s">
        <v>1321</v>
      </c>
      <c r="I390" s="131">
        <v>2</v>
      </c>
      <c r="J390" s="141" t="s">
        <v>547</v>
      </c>
      <c r="K390" s="121" t="s">
        <v>41</v>
      </c>
      <c r="L390" s="23"/>
      <c r="M390" s="7"/>
      <c r="N390" s="7"/>
      <c r="O390" s="7"/>
      <c r="P390" s="7"/>
      <c r="Q390" s="7"/>
    </row>
    <row r="391" spans="2:17" customFormat="1" ht="15" customHeight="1">
      <c r="B391" s="5" t="s">
        <v>1020</v>
      </c>
      <c r="C391" s="283" t="s">
        <v>534</v>
      </c>
      <c r="D391" s="5" t="s">
        <v>535</v>
      </c>
      <c r="E391" s="130" t="s">
        <v>175</v>
      </c>
      <c r="F391" s="119">
        <v>711204</v>
      </c>
      <c r="G391" s="119" t="s">
        <v>106</v>
      </c>
      <c r="H391" s="119" t="s">
        <v>1345</v>
      </c>
      <c r="I391" s="145">
        <v>1</v>
      </c>
      <c r="J391" s="141" t="s">
        <v>59</v>
      </c>
      <c r="K391" s="122" t="s">
        <v>105</v>
      </c>
      <c r="L391" s="21"/>
      <c r="M391" s="7"/>
      <c r="N391" s="7"/>
      <c r="O391" s="7"/>
      <c r="P391" s="7"/>
      <c r="Q391" s="7"/>
    </row>
    <row r="392" spans="2:17" customFormat="1" ht="15" customHeight="1">
      <c r="B392" s="5" t="s">
        <v>1021</v>
      </c>
      <c r="C392" s="283" t="s">
        <v>538</v>
      </c>
      <c r="D392" s="5" t="s">
        <v>174</v>
      </c>
      <c r="E392" s="283" t="s">
        <v>34</v>
      </c>
      <c r="F392" s="119">
        <v>723103</v>
      </c>
      <c r="G392" s="119" t="s">
        <v>75</v>
      </c>
      <c r="H392" s="133" t="s">
        <v>1332</v>
      </c>
      <c r="I392" s="131">
        <v>7</v>
      </c>
      <c r="J392" s="7" t="s">
        <v>1485</v>
      </c>
      <c r="K392" s="122" t="s">
        <v>35</v>
      </c>
      <c r="L392" s="23"/>
      <c r="M392" s="7"/>
      <c r="N392" s="7"/>
      <c r="O392" s="43"/>
      <c r="P392" s="7"/>
      <c r="Q392" s="7"/>
    </row>
    <row r="393" spans="2:17" customFormat="1" ht="15" customHeight="1">
      <c r="B393" s="5" t="s">
        <v>1022</v>
      </c>
      <c r="C393" s="283" t="s">
        <v>538</v>
      </c>
      <c r="D393" s="5" t="s">
        <v>174</v>
      </c>
      <c r="E393" s="283" t="s">
        <v>45</v>
      </c>
      <c r="F393" s="119">
        <v>522301</v>
      </c>
      <c r="G393" s="119" t="s">
        <v>43</v>
      </c>
      <c r="H393" s="119" t="s">
        <v>1410</v>
      </c>
      <c r="I393" s="131">
        <v>1</v>
      </c>
      <c r="J393" s="141" t="s">
        <v>1174</v>
      </c>
      <c r="K393" s="122" t="s">
        <v>849</v>
      </c>
      <c r="L393" s="23"/>
      <c r="M393" s="7"/>
      <c r="N393" s="18"/>
      <c r="O393" s="7"/>
      <c r="P393" s="7"/>
      <c r="Q393" s="7"/>
    </row>
    <row r="394" spans="2:17" customFormat="1" ht="15" customHeight="1">
      <c r="B394" s="5" t="s">
        <v>1023</v>
      </c>
      <c r="C394" s="283" t="s">
        <v>538</v>
      </c>
      <c r="D394" s="5" t="s">
        <v>174</v>
      </c>
      <c r="E394" s="283" t="s">
        <v>45</v>
      </c>
      <c r="F394" s="119">
        <v>522301</v>
      </c>
      <c r="G394" s="119" t="s">
        <v>43</v>
      </c>
      <c r="H394" s="120" t="s">
        <v>1334</v>
      </c>
      <c r="I394" s="131">
        <v>5</v>
      </c>
      <c r="J394" s="7" t="s">
        <v>1485</v>
      </c>
      <c r="K394" s="122" t="s">
        <v>35</v>
      </c>
      <c r="L394" s="23"/>
      <c r="M394" s="7"/>
      <c r="N394" s="7"/>
      <c r="O394" s="43"/>
      <c r="P394" s="7"/>
      <c r="Q394" s="7"/>
    </row>
    <row r="395" spans="2:17" customFormat="1" ht="15" customHeight="1">
      <c r="B395" s="5" t="s">
        <v>1024</v>
      </c>
      <c r="C395" s="283" t="s">
        <v>538</v>
      </c>
      <c r="D395" s="5" t="s">
        <v>174</v>
      </c>
      <c r="E395" s="207" t="s">
        <v>44</v>
      </c>
      <c r="F395" s="119">
        <v>512001</v>
      </c>
      <c r="G395" s="6" t="s">
        <v>81</v>
      </c>
      <c r="H395" s="133" t="s">
        <v>1335</v>
      </c>
      <c r="I395" s="131">
        <v>8</v>
      </c>
      <c r="J395" s="7" t="s">
        <v>1485</v>
      </c>
      <c r="K395" s="122" t="s">
        <v>35</v>
      </c>
      <c r="L395" s="23"/>
      <c r="M395" s="7"/>
      <c r="N395" s="7"/>
      <c r="O395" s="43"/>
      <c r="P395" s="7"/>
      <c r="Q395" s="7"/>
    </row>
    <row r="396" spans="2:17" customFormat="1" ht="15" customHeight="1">
      <c r="B396" s="5" t="s">
        <v>1025</v>
      </c>
      <c r="C396" s="283" t="s">
        <v>538</v>
      </c>
      <c r="D396" s="5" t="s">
        <v>174</v>
      </c>
      <c r="E396" s="283" t="s">
        <v>36</v>
      </c>
      <c r="F396" s="119">
        <v>514101</v>
      </c>
      <c r="G396" s="119" t="s">
        <v>77</v>
      </c>
      <c r="H396" s="133" t="s">
        <v>1334</v>
      </c>
      <c r="I396" s="131">
        <v>10</v>
      </c>
      <c r="J396" s="7" t="s">
        <v>1485</v>
      </c>
      <c r="K396" s="122" t="s">
        <v>35</v>
      </c>
      <c r="L396" s="23"/>
      <c r="M396" s="7"/>
      <c r="N396" s="7"/>
      <c r="O396" s="43"/>
      <c r="P396" s="7"/>
      <c r="Q396" s="7"/>
    </row>
    <row r="397" spans="2:17" customFormat="1" ht="15" customHeight="1">
      <c r="B397" s="5" t="s">
        <v>1026</v>
      </c>
      <c r="C397" s="283" t="s">
        <v>538</v>
      </c>
      <c r="D397" s="5" t="s">
        <v>174</v>
      </c>
      <c r="E397" s="130" t="s">
        <v>175</v>
      </c>
      <c r="F397" s="119">
        <v>711204</v>
      </c>
      <c r="G397" s="119" t="s">
        <v>106</v>
      </c>
      <c r="H397" s="119" t="s">
        <v>1345</v>
      </c>
      <c r="I397" s="145">
        <v>2</v>
      </c>
      <c r="J397" s="141" t="s">
        <v>59</v>
      </c>
      <c r="K397" s="122" t="s">
        <v>105</v>
      </c>
      <c r="L397" s="21"/>
      <c r="M397" s="7"/>
      <c r="N397" s="7"/>
      <c r="O397" s="7"/>
      <c r="P397" s="7"/>
      <c r="Q397" s="7"/>
    </row>
    <row r="398" spans="2:17" customFormat="1" ht="15" customHeight="1">
      <c r="B398" s="5" t="s">
        <v>1027</v>
      </c>
      <c r="C398" s="283" t="s">
        <v>538</v>
      </c>
      <c r="D398" s="5" t="s">
        <v>174</v>
      </c>
      <c r="E398" s="130" t="s">
        <v>38</v>
      </c>
      <c r="F398" s="119">
        <v>741103</v>
      </c>
      <c r="G398" s="119" t="s">
        <v>54</v>
      </c>
      <c r="H398" s="119" t="s">
        <v>2394</v>
      </c>
      <c r="I398" s="145">
        <v>1</v>
      </c>
      <c r="J398" s="141" t="s">
        <v>59</v>
      </c>
      <c r="K398" s="122" t="s">
        <v>105</v>
      </c>
      <c r="L398" s="21"/>
      <c r="M398" s="7"/>
      <c r="N398" s="7"/>
      <c r="O398" s="7"/>
      <c r="P398" s="7"/>
      <c r="Q398" s="7"/>
    </row>
    <row r="399" spans="2:17" customFormat="1" ht="15" customHeight="1">
      <c r="B399" s="5" t="s">
        <v>1028</v>
      </c>
      <c r="C399" s="283" t="s">
        <v>538</v>
      </c>
      <c r="D399" s="5" t="s">
        <v>174</v>
      </c>
      <c r="E399" s="221" t="s">
        <v>198</v>
      </c>
      <c r="F399" s="119">
        <v>712618</v>
      </c>
      <c r="G399" s="119" t="s">
        <v>86</v>
      </c>
      <c r="H399" s="119" t="s">
        <v>1347</v>
      </c>
      <c r="I399" s="145">
        <v>1</v>
      </c>
      <c r="J399" s="141" t="s">
        <v>59</v>
      </c>
      <c r="K399" s="122" t="s">
        <v>105</v>
      </c>
      <c r="L399" s="21"/>
      <c r="M399" s="7"/>
      <c r="N399" s="7"/>
      <c r="O399" s="7"/>
      <c r="P399" s="7"/>
      <c r="Q399" s="7"/>
    </row>
    <row r="400" spans="2:17" customFormat="1" ht="15" customHeight="1">
      <c r="B400" s="5" t="s">
        <v>1029</v>
      </c>
      <c r="C400" s="283" t="s">
        <v>538</v>
      </c>
      <c r="D400" s="5" t="s">
        <v>174</v>
      </c>
      <c r="E400" s="130" t="s">
        <v>541</v>
      </c>
      <c r="F400" s="119">
        <v>613003</v>
      </c>
      <c r="G400" s="119" t="s">
        <v>542</v>
      </c>
      <c r="H400" s="119" t="s">
        <v>1349</v>
      </c>
      <c r="I400" s="131">
        <v>2</v>
      </c>
      <c r="J400" s="141" t="s">
        <v>61</v>
      </c>
      <c r="K400" s="121" t="s">
        <v>851</v>
      </c>
      <c r="L400" s="23"/>
      <c r="M400" s="7"/>
      <c r="N400" s="7"/>
      <c r="O400" s="7"/>
      <c r="P400" s="7"/>
      <c r="Q400" s="7"/>
    </row>
    <row r="401" spans="2:17" customFormat="1" ht="15" customHeight="1">
      <c r="B401" s="5" t="s">
        <v>1030</v>
      </c>
      <c r="C401" s="283" t="s">
        <v>538</v>
      </c>
      <c r="D401" s="291" t="s">
        <v>174</v>
      </c>
      <c r="E401" s="130" t="s">
        <v>550</v>
      </c>
      <c r="F401" s="119">
        <v>753105</v>
      </c>
      <c r="G401" s="119" t="s">
        <v>543</v>
      </c>
      <c r="H401" s="119" t="s">
        <v>1323</v>
      </c>
      <c r="I401" s="131">
        <v>1</v>
      </c>
      <c r="J401" s="141" t="s">
        <v>547</v>
      </c>
      <c r="K401" s="121" t="s">
        <v>41</v>
      </c>
      <c r="L401" s="23"/>
      <c r="M401" s="7"/>
      <c r="N401" s="7"/>
      <c r="O401" s="7"/>
      <c r="P401" s="7"/>
      <c r="Q401" s="7"/>
    </row>
    <row r="402" spans="2:17" customFormat="1" ht="15" customHeight="1">
      <c r="B402" s="5" t="s">
        <v>1031</v>
      </c>
      <c r="C402" s="283" t="s">
        <v>538</v>
      </c>
      <c r="D402" s="5" t="s">
        <v>174</v>
      </c>
      <c r="E402" s="130" t="s">
        <v>57</v>
      </c>
      <c r="F402" s="119">
        <v>751204</v>
      </c>
      <c r="G402" s="119" t="s">
        <v>68</v>
      </c>
      <c r="H402" s="119" t="s">
        <v>1348</v>
      </c>
      <c r="I402" s="145">
        <v>1</v>
      </c>
      <c r="J402" s="141" t="s">
        <v>59</v>
      </c>
      <c r="K402" s="122" t="s">
        <v>105</v>
      </c>
      <c r="L402" s="21"/>
      <c r="M402" s="7"/>
      <c r="N402" s="7"/>
      <c r="O402" s="7"/>
      <c r="P402" s="7"/>
      <c r="Q402" s="7"/>
    </row>
    <row r="403" spans="2:17" customFormat="1" ht="15" customHeight="1">
      <c r="B403" s="5" t="s">
        <v>1032</v>
      </c>
      <c r="C403" s="283" t="s">
        <v>538</v>
      </c>
      <c r="D403" s="5" t="s">
        <v>174</v>
      </c>
      <c r="E403" s="130" t="s">
        <v>33</v>
      </c>
      <c r="F403" s="119">
        <v>752205</v>
      </c>
      <c r="G403" s="119" t="s">
        <v>69</v>
      </c>
      <c r="H403" s="119" t="s">
        <v>1343</v>
      </c>
      <c r="I403" s="145">
        <v>1</v>
      </c>
      <c r="J403" s="141" t="s">
        <v>59</v>
      </c>
      <c r="K403" s="122" t="s">
        <v>105</v>
      </c>
      <c r="L403" s="21"/>
      <c r="M403" s="7"/>
      <c r="N403" s="7"/>
      <c r="O403" s="7"/>
      <c r="P403" s="7"/>
      <c r="Q403" s="7"/>
    </row>
    <row r="404" spans="2:17" customFormat="1" ht="15" customHeight="1">
      <c r="B404" s="5" t="s">
        <v>1033</v>
      </c>
      <c r="C404" s="283" t="s">
        <v>538</v>
      </c>
      <c r="D404" s="5" t="s">
        <v>174</v>
      </c>
      <c r="E404" s="207" t="s">
        <v>44</v>
      </c>
      <c r="F404" s="119">
        <v>512001</v>
      </c>
      <c r="G404" s="6" t="s">
        <v>81</v>
      </c>
      <c r="H404" s="119" t="s">
        <v>1411</v>
      </c>
      <c r="I404" s="131">
        <v>1</v>
      </c>
      <c r="J404" s="141" t="s">
        <v>1174</v>
      </c>
      <c r="K404" s="122" t="s">
        <v>849</v>
      </c>
      <c r="L404" s="23"/>
      <c r="M404" s="7"/>
      <c r="N404" s="18"/>
      <c r="O404" s="7"/>
      <c r="P404" s="7"/>
      <c r="Q404" s="7"/>
    </row>
    <row r="405" spans="2:17" ht="30">
      <c r="B405" s="5" t="s">
        <v>1034</v>
      </c>
      <c r="C405" s="283" t="s">
        <v>544</v>
      </c>
      <c r="D405" s="119" t="s">
        <v>545</v>
      </c>
      <c r="E405" s="207" t="s">
        <v>44</v>
      </c>
      <c r="F405" s="119">
        <v>512001</v>
      </c>
      <c r="G405" s="6" t="s">
        <v>81</v>
      </c>
      <c r="H405" s="220" t="s">
        <v>2273</v>
      </c>
      <c r="I405" s="131">
        <v>14</v>
      </c>
      <c r="J405" s="280" t="s">
        <v>228</v>
      </c>
      <c r="K405" s="207" t="s">
        <v>104</v>
      </c>
      <c r="L405" s="20"/>
      <c r="M405" s="287"/>
      <c r="N405" s="10"/>
      <c r="O405" s="10"/>
      <c r="P405" s="10"/>
      <c r="Q405" s="10"/>
    </row>
    <row r="406" spans="2:17" ht="30">
      <c r="B406" s="5" t="s">
        <v>1035</v>
      </c>
      <c r="C406" s="283" t="s">
        <v>544</v>
      </c>
      <c r="D406" s="119" t="s">
        <v>545</v>
      </c>
      <c r="E406" s="283" t="s">
        <v>36</v>
      </c>
      <c r="F406" s="119">
        <v>514101</v>
      </c>
      <c r="G406" s="119" t="s">
        <v>77</v>
      </c>
      <c r="H406" s="220" t="s">
        <v>2262</v>
      </c>
      <c r="I406" s="131">
        <v>5</v>
      </c>
      <c r="J406" s="280" t="s">
        <v>228</v>
      </c>
      <c r="K406" s="207" t="s">
        <v>104</v>
      </c>
      <c r="L406" s="20"/>
      <c r="M406" s="287"/>
      <c r="N406" s="10"/>
      <c r="O406" s="10"/>
      <c r="P406" s="10"/>
      <c r="Q406" s="10"/>
    </row>
    <row r="407" spans="2:17" ht="30">
      <c r="B407" s="5" t="s">
        <v>1036</v>
      </c>
      <c r="C407" s="283" t="s">
        <v>544</v>
      </c>
      <c r="D407" s="119" t="s">
        <v>545</v>
      </c>
      <c r="E407" s="283" t="s">
        <v>45</v>
      </c>
      <c r="F407" s="119">
        <v>522301</v>
      </c>
      <c r="G407" s="119" t="s">
        <v>43</v>
      </c>
      <c r="H407" s="220" t="s">
        <v>2263</v>
      </c>
      <c r="I407" s="131">
        <v>5</v>
      </c>
      <c r="J407" s="280" t="s">
        <v>228</v>
      </c>
      <c r="K407" s="207" t="s">
        <v>104</v>
      </c>
      <c r="L407" s="20"/>
      <c r="M407" s="287"/>
      <c r="N407" s="10"/>
      <c r="O407" s="10"/>
      <c r="P407" s="10"/>
      <c r="Q407" s="10"/>
    </row>
    <row r="408" spans="2:17" customFormat="1">
      <c r="B408" s="5" t="s">
        <v>1037</v>
      </c>
      <c r="C408" s="283" t="s">
        <v>544</v>
      </c>
      <c r="D408" s="5" t="s">
        <v>545</v>
      </c>
      <c r="E408" s="283" t="s">
        <v>34</v>
      </c>
      <c r="F408" s="119">
        <v>723103</v>
      </c>
      <c r="G408" s="119" t="s">
        <v>75</v>
      </c>
      <c r="H408" s="220" t="s">
        <v>2274</v>
      </c>
      <c r="I408" s="131">
        <v>10</v>
      </c>
      <c r="J408" s="141" t="s">
        <v>228</v>
      </c>
      <c r="K408" s="122" t="s">
        <v>104</v>
      </c>
      <c r="L408" s="23"/>
      <c r="M408" s="14"/>
      <c r="N408" s="7"/>
      <c r="O408" s="7"/>
      <c r="P408" s="7"/>
      <c r="Q408" s="7"/>
    </row>
    <row r="409" spans="2:17" customFormat="1">
      <c r="B409" s="5" t="s">
        <v>1038</v>
      </c>
      <c r="C409" s="283" t="s">
        <v>544</v>
      </c>
      <c r="D409" s="5" t="s">
        <v>545</v>
      </c>
      <c r="E409" s="130" t="s">
        <v>103</v>
      </c>
      <c r="F409" s="119">
        <v>722307</v>
      </c>
      <c r="G409" s="119" t="s">
        <v>83</v>
      </c>
      <c r="H409" s="220" t="s">
        <v>2275</v>
      </c>
      <c r="I409" s="131">
        <v>1</v>
      </c>
      <c r="J409" s="141" t="s">
        <v>228</v>
      </c>
      <c r="K409" s="122" t="s">
        <v>104</v>
      </c>
      <c r="L409" s="23"/>
      <c r="M409" s="14"/>
      <c r="N409" s="7"/>
      <c r="O409" s="7"/>
      <c r="P409" s="7"/>
      <c r="Q409" s="7"/>
    </row>
    <row r="410" spans="2:17" customFormat="1" ht="15" customHeight="1">
      <c r="B410" s="5" t="s">
        <v>1039</v>
      </c>
      <c r="C410" s="283" t="s">
        <v>544</v>
      </c>
      <c r="D410" s="5" t="s">
        <v>545</v>
      </c>
      <c r="E410" s="130" t="s">
        <v>1435</v>
      </c>
      <c r="F410" s="119">
        <v>713203</v>
      </c>
      <c r="G410" s="119" t="s">
        <v>66</v>
      </c>
      <c r="H410" s="120" t="s">
        <v>1337</v>
      </c>
      <c r="I410" s="145">
        <v>1</v>
      </c>
      <c r="J410" s="141" t="s">
        <v>59</v>
      </c>
      <c r="K410" s="122" t="s">
        <v>105</v>
      </c>
      <c r="L410" s="21"/>
      <c r="M410" s="7"/>
      <c r="N410" s="7"/>
      <c r="O410" s="7"/>
      <c r="P410" s="7"/>
      <c r="Q410" s="7"/>
    </row>
    <row r="411" spans="2:17" customFormat="1" ht="15" customHeight="1">
      <c r="B411" s="5" t="s">
        <v>1040</v>
      </c>
      <c r="C411" s="283" t="s">
        <v>544</v>
      </c>
      <c r="D411" s="291" t="s">
        <v>545</v>
      </c>
      <c r="E411" s="130" t="s">
        <v>546</v>
      </c>
      <c r="F411" s="119">
        <v>611303</v>
      </c>
      <c r="G411" s="119" t="s">
        <v>551</v>
      </c>
      <c r="H411" s="120" t="s">
        <v>2276</v>
      </c>
      <c r="I411" s="131">
        <v>1</v>
      </c>
      <c r="J411" s="141" t="s">
        <v>547</v>
      </c>
      <c r="K411" s="121" t="s">
        <v>41</v>
      </c>
      <c r="L411" s="23"/>
      <c r="M411" s="7"/>
      <c r="N411" s="7"/>
      <c r="O411" s="7"/>
      <c r="P411" s="7"/>
      <c r="Q411" s="7"/>
    </row>
    <row r="412" spans="2:17" customFormat="1" ht="15" customHeight="1">
      <c r="B412" s="5" t="s">
        <v>1041</v>
      </c>
      <c r="C412" s="283" t="s">
        <v>548</v>
      </c>
      <c r="D412" s="5" t="s">
        <v>549</v>
      </c>
      <c r="E412" s="283" t="s">
        <v>36</v>
      </c>
      <c r="F412" s="119">
        <v>514101</v>
      </c>
      <c r="G412" s="119" t="s">
        <v>77</v>
      </c>
      <c r="H412" s="133"/>
      <c r="I412" s="131">
        <v>6</v>
      </c>
      <c r="J412" s="141" t="s">
        <v>61</v>
      </c>
      <c r="K412" s="121" t="s">
        <v>851</v>
      </c>
      <c r="L412" s="20"/>
      <c r="M412" s="7"/>
      <c r="N412" s="7"/>
      <c r="O412" s="7"/>
      <c r="P412" s="7"/>
      <c r="Q412" s="7"/>
    </row>
    <row r="413" spans="2:17" customFormat="1" ht="15" customHeight="1">
      <c r="B413" s="5" t="s">
        <v>1042</v>
      </c>
      <c r="C413" s="283" t="s">
        <v>548</v>
      </c>
      <c r="D413" s="5" t="s">
        <v>549</v>
      </c>
      <c r="E413" s="130" t="s">
        <v>37</v>
      </c>
      <c r="F413" s="119">
        <v>751201</v>
      </c>
      <c r="G413" s="119" t="s">
        <v>183</v>
      </c>
      <c r="H413" s="133" t="s">
        <v>1345</v>
      </c>
      <c r="I413" s="131">
        <v>1</v>
      </c>
      <c r="J413" s="141" t="s">
        <v>61</v>
      </c>
      <c r="K413" s="121" t="s">
        <v>851</v>
      </c>
      <c r="L413" s="20"/>
      <c r="M413" s="7"/>
      <c r="N413" s="7"/>
      <c r="O413" s="7"/>
      <c r="P413" s="7"/>
      <c r="Q413" s="7"/>
    </row>
    <row r="414" spans="2:17" customFormat="1" ht="15" customHeight="1">
      <c r="B414" s="5" t="s">
        <v>1043</v>
      </c>
      <c r="C414" s="283" t="s">
        <v>548</v>
      </c>
      <c r="D414" s="5" t="s">
        <v>549</v>
      </c>
      <c r="E414" s="130" t="s">
        <v>38</v>
      </c>
      <c r="F414" s="119">
        <v>741103</v>
      </c>
      <c r="G414" s="119" t="s">
        <v>54</v>
      </c>
      <c r="H414" s="133"/>
      <c r="I414" s="131">
        <v>4</v>
      </c>
      <c r="J414" s="141" t="s">
        <v>61</v>
      </c>
      <c r="K414" s="121" t="s">
        <v>851</v>
      </c>
      <c r="L414" s="20"/>
      <c r="M414" s="7"/>
      <c r="N414" s="7"/>
      <c r="O414" s="7"/>
      <c r="P414" s="7"/>
      <c r="Q414" s="7"/>
    </row>
    <row r="415" spans="2:17" customFormat="1" ht="15" customHeight="1">
      <c r="B415" s="5" t="s">
        <v>1044</v>
      </c>
      <c r="C415" s="283" t="s">
        <v>548</v>
      </c>
      <c r="D415" s="291" t="s">
        <v>549</v>
      </c>
      <c r="E415" s="130" t="s">
        <v>550</v>
      </c>
      <c r="F415" s="119">
        <v>753105</v>
      </c>
      <c r="G415" s="119" t="s">
        <v>543</v>
      </c>
      <c r="H415" s="119" t="s">
        <v>1323</v>
      </c>
      <c r="I415" s="131">
        <v>1</v>
      </c>
      <c r="J415" s="141" t="s">
        <v>547</v>
      </c>
      <c r="K415" s="121" t="s">
        <v>41</v>
      </c>
      <c r="L415" s="23"/>
      <c r="M415" s="7"/>
      <c r="N415" s="7"/>
      <c r="O415" s="7"/>
      <c r="P415" s="7"/>
      <c r="Q415" s="7"/>
    </row>
    <row r="416" spans="2:17" customFormat="1" ht="15" customHeight="1">
      <c r="B416" s="5" t="s">
        <v>1045</v>
      </c>
      <c r="C416" s="283" t="s">
        <v>548</v>
      </c>
      <c r="D416" s="291" t="s">
        <v>549</v>
      </c>
      <c r="E416" s="130" t="s">
        <v>546</v>
      </c>
      <c r="F416" s="119">
        <v>611301</v>
      </c>
      <c r="G416" s="119" t="s">
        <v>551</v>
      </c>
      <c r="H416" s="119" t="s">
        <v>1324</v>
      </c>
      <c r="I416" s="131">
        <v>1</v>
      </c>
      <c r="J416" s="141" t="s">
        <v>547</v>
      </c>
      <c r="K416" s="121" t="s">
        <v>41</v>
      </c>
      <c r="L416" s="23"/>
      <c r="M416" s="7"/>
      <c r="N416" s="7"/>
      <c r="O416" s="7"/>
      <c r="P416" s="7"/>
      <c r="Q416" s="7"/>
    </row>
    <row r="417" spans="2:19" customFormat="1" ht="15" customHeight="1">
      <c r="B417" s="5" t="s">
        <v>1046</v>
      </c>
      <c r="C417" s="283" t="s">
        <v>548</v>
      </c>
      <c r="D417" s="291" t="s">
        <v>549</v>
      </c>
      <c r="E417" s="221" t="s">
        <v>552</v>
      </c>
      <c r="F417" s="119">
        <v>432106</v>
      </c>
      <c r="G417" s="119" t="s">
        <v>281</v>
      </c>
      <c r="H417" s="119" t="s">
        <v>1321</v>
      </c>
      <c r="I417" s="131">
        <v>1</v>
      </c>
      <c r="J417" s="141" t="s">
        <v>547</v>
      </c>
      <c r="K417" s="121" t="s">
        <v>41</v>
      </c>
      <c r="L417" s="23"/>
      <c r="M417" s="7"/>
      <c r="N417" s="7"/>
      <c r="O417" s="7"/>
      <c r="P417" s="7"/>
      <c r="Q417" s="7"/>
    </row>
    <row r="418" spans="2:19" customFormat="1" ht="15" customHeight="1">
      <c r="B418" s="5" t="s">
        <v>1047</v>
      </c>
      <c r="C418" s="283" t="s">
        <v>548</v>
      </c>
      <c r="D418" s="5" t="s">
        <v>549</v>
      </c>
      <c r="E418" s="130" t="s">
        <v>553</v>
      </c>
      <c r="F418" s="119">
        <v>813134</v>
      </c>
      <c r="G418" s="119" t="s">
        <v>554</v>
      </c>
      <c r="H418" s="119"/>
      <c r="I418" s="131">
        <v>5</v>
      </c>
      <c r="J418" s="141" t="s">
        <v>2339</v>
      </c>
      <c r="K418" s="122" t="s">
        <v>549</v>
      </c>
      <c r="L418" s="23"/>
      <c r="M418" s="7"/>
      <c r="N418" s="7"/>
      <c r="O418" s="7"/>
      <c r="P418" s="7"/>
      <c r="Q418" s="7"/>
      <c r="S418" t="s">
        <v>2313</v>
      </c>
    </row>
    <row r="419" spans="2:19" customFormat="1" ht="15" customHeight="1">
      <c r="B419" s="5" t="s">
        <v>1048</v>
      </c>
      <c r="C419" s="283" t="s">
        <v>548</v>
      </c>
      <c r="D419" s="5" t="s">
        <v>549</v>
      </c>
      <c r="E419" s="207" t="s">
        <v>44</v>
      </c>
      <c r="F419" s="119">
        <v>512001</v>
      </c>
      <c r="G419" s="6" t="s">
        <v>81</v>
      </c>
      <c r="H419" s="295" t="s">
        <v>1343</v>
      </c>
      <c r="I419" s="131">
        <v>4</v>
      </c>
      <c r="J419" s="141" t="s">
        <v>109</v>
      </c>
      <c r="K419" s="122" t="s">
        <v>237</v>
      </c>
      <c r="L419" s="23"/>
      <c r="M419" s="7"/>
      <c r="N419" s="7"/>
      <c r="O419" s="7"/>
      <c r="P419" s="7"/>
      <c r="Q419" s="7"/>
    </row>
    <row r="420" spans="2:19" customFormat="1" ht="15" customHeight="1">
      <c r="B420" s="5" t="s">
        <v>1049</v>
      </c>
      <c r="C420" s="283" t="s">
        <v>548</v>
      </c>
      <c r="D420" s="5" t="s">
        <v>549</v>
      </c>
      <c r="E420" s="283" t="s">
        <v>34</v>
      </c>
      <c r="F420" s="119">
        <v>723103</v>
      </c>
      <c r="G420" s="119" t="s">
        <v>64</v>
      </c>
      <c r="H420" s="295" t="s">
        <v>1421</v>
      </c>
      <c r="I420" s="131">
        <v>5</v>
      </c>
      <c r="J420" s="141" t="s">
        <v>109</v>
      </c>
      <c r="K420" s="122" t="s">
        <v>237</v>
      </c>
      <c r="L420" s="23"/>
      <c r="M420" s="7"/>
      <c r="N420" s="7"/>
      <c r="O420" s="7"/>
      <c r="P420" s="7"/>
      <c r="Q420" s="7"/>
    </row>
    <row r="421" spans="2:19" ht="30">
      <c r="B421" s="5" t="s">
        <v>1050</v>
      </c>
      <c r="C421" s="283" t="s">
        <v>548</v>
      </c>
      <c r="D421" s="119" t="s">
        <v>549</v>
      </c>
      <c r="E421" s="283" t="s">
        <v>45</v>
      </c>
      <c r="F421" s="119">
        <v>522301</v>
      </c>
      <c r="G421" s="119" t="s">
        <v>43</v>
      </c>
      <c r="H421" s="306" t="s">
        <v>2375</v>
      </c>
      <c r="I421" s="131">
        <v>6</v>
      </c>
      <c r="J421" s="280" t="s">
        <v>109</v>
      </c>
      <c r="K421" s="207" t="s">
        <v>237</v>
      </c>
      <c r="L421" s="23"/>
      <c r="M421" s="7"/>
      <c r="N421" s="7"/>
      <c r="O421" s="7"/>
      <c r="P421" s="7"/>
      <c r="Q421" s="7"/>
    </row>
    <row r="422" spans="2:19" customFormat="1" ht="15" customHeight="1">
      <c r="B422" s="5" t="s">
        <v>1051</v>
      </c>
      <c r="C422" s="283" t="s">
        <v>548</v>
      </c>
      <c r="D422" s="5" t="s">
        <v>549</v>
      </c>
      <c r="E422" s="130" t="s">
        <v>206</v>
      </c>
      <c r="F422" s="119">
        <v>722204</v>
      </c>
      <c r="G422" s="119" t="s">
        <v>185</v>
      </c>
      <c r="H422" s="295" t="s">
        <v>1343</v>
      </c>
      <c r="I422" s="131">
        <v>11</v>
      </c>
      <c r="J422" s="141" t="s">
        <v>109</v>
      </c>
      <c r="K422" s="122" t="s">
        <v>237</v>
      </c>
      <c r="L422" s="23"/>
      <c r="M422" s="7"/>
      <c r="N422" s="7"/>
      <c r="O422" s="7"/>
      <c r="P422" s="7"/>
      <c r="Q422" s="7"/>
    </row>
    <row r="423" spans="2:19" customFormat="1" ht="15" customHeight="1">
      <c r="B423" s="5" t="s">
        <v>1052</v>
      </c>
      <c r="C423" s="283" t="s">
        <v>548</v>
      </c>
      <c r="D423" s="5" t="s">
        <v>549</v>
      </c>
      <c r="E423" s="130" t="s">
        <v>57</v>
      </c>
      <c r="F423" s="119">
        <v>751204</v>
      </c>
      <c r="G423" s="119" t="s">
        <v>68</v>
      </c>
      <c r="H423" s="119"/>
      <c r="I423" s="131">
        <v>4</v>
      </c>
      <c r="J423" s="141" t="s">
        <v>61</v>
      </c>
      <c r="K423" s="121" t="s">
        <v>851</v>
      </c>
      <c r="L423" s="23"/>
      <c r="M423" s="7"/>
      <c r="N423" s="7"/>
      <c r="O423" s="7"/>
      <c r="P423" s="7"/>
      <c r="Q423" s="7"/>
    </row>
    <row r="424" spans="2:19" customFormat="1" ht="15" customHeight="1">
      <c r="B424" s="5" t="s">
        <v>1053</v>
      </c>
      <c r="C424" s="283" t="s">
        <v>548</v>
      </c>
      <c r="D424" s="5" t="s">
        <v>549</v>
      </c>
      <c r="E424" s="130" t="s">
        <v>52</v>
      </c>
      <c r="F424" s="119">
        <v>721306</v>
      </c>
      <c r="G424" s="119" t="s">
        <v>63</v>
      </c>
      <c r="H424" s="119" t="s">
        <v>1345</v>
      </c>
      <c r="I424" s="131">
        <v>1</v>
      </c>
      <c r="J424" s="141" t="s">
        <v>61</v>
      </c>
      <c r="K424" s="121" t="s">
        <v>851</v>
      </c>
      <c r="L424" s="23"/>
      <c r="M424" s="7"/>
      <c r="N424" s="7"/>
      <c r="O424" s="7"/>
      <c r="P424" s="7"/>
      <c r="Q424" s="7"/>
    </row>
    <row r="425" spans="2:19" customFormat="1" ht="15" customHeight="1">
      <c r="B425" s="5" t="s">
        <v>1054</v>
      </c>
      <c r="C425" s="283" t="s">
        <v>548</v>
      </c>
      <c r="D425" s="5" t="s">
        <v>549</v>
      </c>
      <c r="E425" s="130" t="s">
        <v>175</v>
      </c>
      <c r="F425" s="119">
        <v>711204</v>
      </c>
      <c r="G425" s="119" t="s">
        <v>106</v>
      </c>
      <c r="H425" s="119"/>
      <c r="I425" s="131">
        <v>1</v>
      </c>
      <c r="J425" s="141" t="s">
        <v>61</v>
      </c>
      <c r="K425" s="121" t="s">
        <v>851</v>
      </c>
      <c r="L425" s="23"/>
      <c r="M425" s="7"/>
      <c r="N425" s="7"/>
      <c r="O425" s="7"/>
      <c r="P425" s="7"/>
      <c r="Q425" s="7"/>
    </row>
    <row r="426" spans="2:19" customFormat="1" ht="15" customHeight="1">
      <c r="B426" s="5" t="s">
        <v>1055</v>
      </c>
      <c r="C426" s="283" t="s">
        <v>555</v>
      </c>
      <c r="D426" s="5" t="s">
        <v>556</v>
      </c>
      <c r="E426" s="337" t="s">
        <v>58</v>
      </c>
      <c r="F426" s="119">
        <v>753402</v>
      </c>
      <c r="G426" s="119" t="s">
        <v>70</v>
      </c>
      <c r="H426" s="119" t="s">
        <v>1346</v>
      </c>
      <c r="I426" s="131">
        <v>2</v>
      </c>
      <c r="J426" s="141" t="s">
        <v>1177</v>
      </c>
      <c r="K426" s="121" t="s">
        <v>939</v>
      </c>
      <c r="L426" s="37"/>
      <c r="M426" s="7"/>
      <c r="N426" s="7"/>
      <c r="O426" s="7"/>
      <c r="P426" s="7"/>
      <c r="Q426" s="7"/>
    </row>
    <row r="427" spans="2:19" customFormat="1" ht="15" customHeight="1">
      <c r="B427" s="5" t="s">
        <v>1056</v>
      </c>
      <c r="C427" s="283" t="s">
        <v>555</v>
      </c>
      <c r="D427" s="5" t="s">
        <v>556</v>
      </c>
      <c r="E427" s="130" t="s">
        <v>57</v>
      </c>
      <c r="F427" s="119">
        <v>751204</v>
      </c>
      <c r="G427" s="119" t="s">
        <v>68</v>
      </c>
      <c r="H427" s="119" t="s">
        <v>1348</v>
      </c>
      <c r="I427" s="145">
        <v>2</v>
      </c>
      <c r="J427" s="141" t="s">
        <v>59</v>
      </c>
      <c r="K427" s="122" t="s">
        <v>105</v>
      </c>
      <c r="L427" s="38"/>
      <c r="M427" s="7"/>
      <c r="N427" s="7"/>
      <c r="O427" s="7"/>
      <c r="P427" s="7"/>
      <c r="Q427" s="7"/>
    </row>
    <row r="428" spans="2:19" customFormat="1" ht="15" customHeight="1">
      <c r="B428" s="5" t="s">
        <v>1057</v>
      </c>
      <c r="C428" s="283" t="s">
        <v>555</v>
      </c>
      <c r="D428" s="5" t="s">
        <v>556</v>
      </c>
      <c r="E428" s="130" t="s">
        <v>37</v>
      </c>
      <c r="F428" s="119">
        <v>751201</v>
      </c>
      <c r="G428" s="119" t="s">
        <v>183</v>
      </c>
      <c r="H428" s="119" t="s">
        <v>1411</v>
      </c>
      <c r="I428" s="131">
        <v>1</v>
      </c>
      <c r="J428" s="141" t="s">
        <v>1174</v>
      </c>
      <c r="K428" s="122" t="s">
        <v>849</v>
      </c>
      <c r="L428" s="37"/>
      <c r="M428" s="7"/>
      <c r="N428" s="18"/>
      <c r="O428" s="7"/>
      <c r="P428" s="7"/>
      <c r="Q428" s="7"/>
    </row>
    <row r="429" spans="2:19" customFormat="1" ht="15" customHeight="1">
      <c r="B429" s="5" t="s">
        <v>1058</v>
      </c>
      <c r="C429" s="283" t="s">
        <v>555</v>
      </c>
      <c r="D429" s="5" t="s">
        <v>556</v>
      </c>
      <c r="E429" s="130" t="s">
        <v>37</v>
      </c>
      <c r="F429" s="119">
        <v>751201</v>
      </c>
      <c r="G429" s="119" t="s">
        <v>183</v>
      </c>
      <c r="H429" s="119" t="s">
        <v>1411</v>
      </c>
      <c r="I429" s="131">
        <v>1</v>
      </c>
      <c r="J429" s="141" t="s">
        <v>1174</v>
      </c>
      <c r="K429" s="122" t="s">
        <v>849</v>
      </c>
      <c r="L429" s="37"/>
      <c r="M429" s="7"/>
      <c r="N429" s="18"/>
      <c r="O429" s="7"/>
      <c r="P429" s="7"/>
      <c r="Q429" s="7"/>
    </row>
    <row r="430" spans="2:19" customFormat="1" ht="15" customHeight="1">
      <c r="B430" s="5" t="s">
        <v>1059</v>
      </c>
      <c r="C430" s="283" t="s">
        <v>555</v>
      </c>
      <c r="D430" s="5" t="s">
        <v>556</v>
      </c>
      <c r="E430" s="337" t="s">
        <v>36</v>
      </c>
      <c r="F430" s="119">
        <v>514101</v>
      </c>
      <c r="G430" s="119" t="s">
        <v>77</v>
      </c>
      <c r="H430" s="133" t="s">
        <v>1410</v>
      </c>
      <c r="I430" s="131">
        <v>3</v>
      </c>
      <c r="J430" s="141" t="s">
        <v>1174</v>
      </c>
      <c r="K430" s="122" t="s">
        <v>849</v>
      </c>
      <c r="L430" s="20"/>
      <c r="M430" s="7"/>
      <c r="N430" s="18"/>
      <c r="O430" s="7"/>
      <c r="P430" s="7"/>
      <c r="Q430" s="7"/>
    </row>
    <row r="431" spans="2:19" customFormat="1" ht="15" customHeight="1">
      <c r="B431" s="5" t="s">
        <v>1060</v>
      </c>
      <c r="C431" s="283" t="s">
        <v>555</v>
      </c>
      <c r="D431" s="5" t="s">
        <v>556</v>
      </c>
      <c r="E431" s="283" t="s">
        <v>34</v>
      </c>
      <c r="F431" s="119">
        <v>723103</v>
      </c>
      <c r="G431" s="119" t="s">
        <v>75</v>
      </c>
      <c r="H431" s="133" t="s">
        <v>1422</v>
      </c>
      <c r="I431" s="131">
        <v>4</v>
      </c>
      <c r="J431" s="141" t="s">
        <v>1174</v>
      </c>
      <c r="K431" s="122" t="s">
        <v>849</v>
      </c>
      <c r="L431" s="20"/>
      <c r="M431" s="7"/>
      <c r="N431" s="18"/>
      <c r="O431" s="7"/>
      <c r="P431" s="7"/>
      <c r="Q431" s="7"/>
    </row>
    <row r="432" spans="2:19" customFormat="1" ht="15" customHeight="1">
      <c r="B432" s="5" t="s">
        <v>1061</v>
      </c>
      <c r="C432" s="283" t="s">
        <v>555</v>
      </c>
      <c r="D432" s="5" t="s">
        <v>556</v>
      </c>
      <c r="E432" s="130" t="s">
        <v>175</v>
      </c>
      <c r="F432" s="119">
        <v>711204</v>
      </c>
      <c r="G432" s="119" t="s">
        <v>106</v>
      </c>
      <c r="H432" s="119" t="s">
        <v>1345</v>
      </c>
      <c r="I432" s="145">
        <v>1</v>
      </c>
      <c r="J432" s="141" t="s">
        <v>59</v>
      </c>
      <c r="K432" s="122" t="s">
        <v>105</v>
      </c>
      <c r="L432" s="19"/>
      <c r="M432" s="7"/>
      <c r="N432" s="7"/>
      <c r="O432" s="7"/>
      <c r="P432" s="7"/>
      <c r="Q432" s="7"/>
    </row>
    <row r="433" spans="2:17" customFormat="1" ht="15" customHeight="1">
      <c r="B433" s="5" t="s">
        <v>1062</v>
      </c>
      <c r="C433" s="283" t="s">
        <v>555</v>
      </c>
      <c r="D433" s="5" t="s">
        <v>556</v>
      </c>
      <c r="E433" s="130" t="s">
        <v>175</v>
      </c>
      <c r="F433" s="119">
        <v>711204</v>
      </c>
      <c r="G433" s="119" t="s">
        <v>106</v>
      </c>
      <c r="H433" s="119" t="s">
        <v>1345</v>
      </c>
      <c r="I433" s="145">
        <v>1</v>
      </c>
      <c r="J433" s="141" t="s">
        <v>59</v>
      </c>
      <c r="K433" s="122" t="s">
        <v>105</v>
      </c>
      <c r="L433" s="19"/>
      <c r="M433" s="7"/>
      <c r="N433" s="7"/>
      <c r="O433" s="7"/>
      <c r="P433" s="7"/>
      <c r="Q433" s="7"/>
    </row>
    <row r="434" spans="2:17" customFormat="1" ht="15" customHeight="1">
      <c r="B434" s="5" t="s">
        <v>1063</v>
      </c>
      <c r="C434" s="283" t="s">
        <v>555</v>
      </c>
      <c r="D434" s="5" t="s">
        <v>556</v>
      </c>
      <c r="E434" s="283" t="s">
        <v>34</v>
      </c>
      <c r="F434" s="119">
        <v>723103</v>
      </c>
      <c r="G434" s="119" t="s">
        <v>75</v>
      </c>
      <c r="H434" s="133" t="s">
        <v>1421</v>
      </c>
      <c r="I434" s="131">
        <v>6</v>
      </c>
      <c r="J434" s="141" t="s">
        <v>1174</v>
      </c>
      <c r="K434" s="122" t="s">
        <v>849</v>
      </c>
      <c r="L434" s="20"/>
      <c r="M434" s="7"/>
      <c r="N434" s="18"/>
      <c r="O434" s="7"/>
      <c r="P434" s="7"/>
      <c r="Q434" s="7"/>
    </row>
    <row r="435" spans="2:17" customFormat="1" ht="15" customHeight="1">
      <c r="B435" s="5" t="s">
        <v>1064</v>
      </c>
      <c r="C435" s="283" t="s">
        <v>555</v>
      </c>
      <c r="D435" s="5" t="s">
        <v>556</v>
      </c>
      <c r="E435" s="207" t="s">
        <v>44</v>
      </c>
      <c r="F435" s="119">
        <v>512001</v>
      </c>
      <c r="G435" s="6" t="s">
        <v>81</v>
      </c>
      <c r="H435" s="133" t="s">
        <v>1411</v>
      </c>
      <c r="I435" s="131">
        <v>4</v>
      </c>
      <c r="J435" s="141" t="s">
        <v>1174</v>
      </c>
      <c r="K435" s="122" t="s">
        <v>849</v>
      </c>
      <c r="L435" s="20"/>
      <c r="M435" s="7"/>
      <c r="N435" s="18"/>
      <c r="O435" s="7"/>
      <c r="P435" s="7"/>
      <c r="Q435" s="7"/>
    </row>
    <row r="436" spans="2:17" customFormat="1" ht="15" customHeight="1">
      <c r="B436" s="5" t="s">
        <v>1065</v>
      </c>
      <c r="C436" s="283" t="s">
        <v>555</v>
      </c>
      <c r="D436" s="5" t="s">
        <v>556</v>
      </c>
      <c r="E436" s="130" t="s">
        <v>33</v>
      </c>
      <c r="F436" s="119">
        <v>752205</v>
      </c>
      <c r="G436" s="119" t="s">
        <v>69</v>
      </c>
      <c r="H436" s="119" t="s">
        <v>1343</v>
      </c>
      <c r="I436" s="145">
        <v>1</v>
      </c>
      <c r="J436" s="141" t="s">
        <v>59</v>
      </c>
      <c r="K436" s="122" t="s">
        <v>105</v>
      </c>
      <c r="L436" s="19"/>
      <c r="M436" s="7"/>
      <c r="N436" s="7"/>
      <c r="O436" s="7"/>
      <c r="P436" s="7"/>
      <c r="Q436" s="7"/>
    </row>
    <row r="437" spans="2:17" customFormat="1" ht="15" customHeight="1">
      <c r="B437" s="5" t="s">
        <v>1066</v>
      </c>
      <c r="C437" s="283" t="s">
        <v>555</v>
      </c>
      <c r="D437" s="5" t="s">
        <v>556</v>
      </c>
      <c r="E437" s="130" t="s">
        <v>38</v>
      </c>
      <c r="F437" s="119">
        <v>741103</v>
      </c>
      <c r="G437" s="119" t="s">
        <v>54</v>
      </c>
      <c r="H437" s="119" t="s">
        <v>2394</v>
      </c>
      <c r="I437" s="145">
        <v>3</v>
      </c>
      <c r="J437" s="141" t="s">
        <v>59</v>
      </c>
      <c r="K437" s="122" t="s">
        <v>105</v>
      </c>
      <c r="L437" s="19"/>
      <c r="M437" s="7"/>
      <c r="N437" s="7"/>
      <c r="O437" s="7"/>
      <c r="P437" s="7"/>
      <c r="Q437" s="7"/>
    </row>
    <row r="438" spans="2:17" customFormat="1" ht="15" customHeight="1">
      <c r="B438" s="5" t="s">
        <v>1067</v>
      </c>
      <c r="C438" s="283" t="s">
        <v>555</v>
      </c>
      <c r="D438" s="5" t="s">
        <v>556</v>
      </c>
      <c r="E438" s="283" t="s">
        <v>45</v>
      </c>
      <c r="F438" s="119">
        <v>522301</v>
      </c>
      <c r="G438" s="119" t="s">
        <v>43</v>
      </c>
      <c r="H438" s="133" t="s">
        <v>1410</v>
      </c>
      <c r="I438" s="131">
        <v>9</v>
      </c>
      <c r="J438" s="141" t="s">
        <v>1174</v>
      </c>
      <c r="K438" s="122" t="s">
        <v>849</v>
      </c>
      <c r="L438" s="20"/>
      <c r="M438" s="7"/>
      <c r="N438" s="18"/>
      <c r="O438" s="7"/>
      <c r="P438" s="7"/>
      <c r="Q438" s="7"/>
    </row>
    <row r="439" spans="2:17" customFormat="1" ht="15" customHeight="1">
      <c r="B439" s="5" t="s">
        <v>1068</v>
      </c>
      <c r="C439" s="283" t="s">
        <v>555</v>
      </c>
      <c r="D439" s="5" t="s">
        <v>556</v>
      </c>
      <c r="E439" s="338" t="s">
        <v>45</v>
      </c>
      <c r="F439" s="119">
        <v>522301</v>
      </c>
      <c r="G439" s="119" t="s">
        <v>43</v>
      </c>
      <c r="H439" s="133" t="s">
        <v>1410</v>
      </c>
      <c r="I439" s="131">
        <v>2</v>
      </c>
      <c r="J439" s="141" t="s">
        <v>1174</v>
      </c>
      <c r="K439" s="122" t="s">
        <v>849</v>
      </c>
      <c r="L439" s="20"/>
      <c r="M439" s="7"/>
      <c r="N439" s="18"/>
      <c r="O439" s="7"/>
      <c r="P439" s="7"/>
      <c r="Q439" s="7"/>
    </row>
    <row r="440" spans="2:17" customFormat="1" ht="15" customHeight="1">
      <c r="B440" s="5" t="s">
        <v>1069</v>
      </c>
      <c r="C440" s="283" t="s">
        <v>555</v>
      </c>
      <c r="D440" s="5" t="s">
        <v>556</v>
      </c>
      <c r="E440" s="337" t="s">
        <v>80</v>
      </c>
      <c r="F440" s="119">
        <v>512001</v>
      </c>
      <c r="G440" s="6" t="s">
        <v>81</v>
      </c>
      <c r="H440" s="133" t="s">
        <v>1422</v>
      </c>
      <c r="I440" s="131">
        <v>2</v>
      </c>
      <c r="J440" s="141" t="s">
        <v>1174</v>
      </c>
      <c r="K440" s="122" t="s">
        <v>849</v>
      </c>
      <c r="L440" s="37"/>
      <c r="M440" s="7"/>
      <c r="N440" s="18"/>
      <c r="O440" s="7"/>
      <c r="P440" s="7"/>
      <c r="Q440" s="7"/>
    </row>
    <row r="441" spans="2:17" customFormat="1" ht="15" customHeight="1">
      <c r="B441" s="5" t="s">
        <v>1070</v>
      </c>
      <c r="C441" s="283" t="s">
        <v>555</v>
      </c>
      <c r="D441" s="5" t="s">
        <v>556</v>
      </c>
      <c r="E441" s="283" t="s">
        <v>36</v>
      </c>
      <c r="F441" s="119">
        <v>514101</v>
      </c>
      <c r="G441" s="119" t="s">
        <v>77</v>
      </c>
      <c r="H441" s="119" t="s">
        <v>1413</v>
      </c>
      <c r="I441" s="131">
        <v>3</v>
      </c>
      <c r="J441" s="141" t="s">
        <v>1174</v>
      </c>
      <c r="K441" s="122" t="s">
        <v>849</v>
      </c>
      <c r="L441" s="39"/>
      <c r="M441" s="7"/>
      <c r="N441" s="18"/>
      <c r="O441" s="7"/>
      <c r="P441" s="7"/>
      <c r="Q441" s="7"/>
    </row>
    <row r="442" spans="2:17" customFormat="1" ht="15" customHeight="1">
      <c r="B442" s="5" t="s">
        <v>1071</v>
      </c>
      <c r="C442" s="283" t="s">
        <v>555</v>
      </c>
      <c r="D442" s="5" t="s">
        <v>556</v>
      </c>
      <c r="E442" s="337" t="s">
        <v>524</v>
      </c>
      <c r="F442" s="119">
        <v>732210</v>
      </c>
      <c r="G442" s="119" t="s">
        <v>858</v>
      </c>
      <c r="H442" s="119" t="s">
        <v>1343</v>
      </c>
      <c r="I442" s="131">
        <v>1</v>
      </c>
      <c r="J442" s="141" t="s">
        <v>559</v>
      </c>
      <c r="K442" s="121" t="s">
        <v>941</v>
      </c>
      <c r="L442" s="37"/>
      <c r="M442" s="7"/>
      <c r="N442" s="7"/>
      <c r="O442" s="7"/>
      <c r="P442" s="7"/>
      <c r="Q442" s="7"/>
    </row>
    <row r="443" spans="2:17" customFormat="1" ht="15" customHeight="1">
      <c r="B443" s="5" t="s">
        <v>1072</v>
      </c>
      <c r="C443" s="283" t="s">
        <v>555</v>
      </c>
      <c r="D443" s="5" t="s">
        <v>556</v>
      </c>
      <c r="E443" s="130" t="s">
        <v>524</v>
      </c>
      <c r="F443" s="119">
        <v>732210</v>
      </c>
      <c r="G443" s="119" t="s">
        <v>858</v>
      </c>
      <c r="H443" s="119" t="s">
        <v>1343</v>
      </c>
      <c r="I443" s="131">
        <v>3</v>
      </c>
      <c r="J443" s="141" t="s">
        <v>559</v>
      </c>
      <c r="K443" s="121" t="s">
        <v>941</v>
      </c>
      <c r="L443" s="37"/>
      <c r="M443" s="7"/>
      <c r="N443" s="7"/>
      <c r="O443" s="7"/>
      <c r="P443" s="7"/>
      <c r="Q443" s="7"/>
    </row>
    <row r="444" spans="2:17" customFormat="1" ht="15" customHeight="1">
      <c r="B444" s="5" t="s">
        <v>1073</v>
      </c>
      <c r="C444" s="283" t="s">
        <v>555</v>
      </c>
      <c r="D444" s="5" t="s">
        <v>556</v>
      </c>
      <c r="E444" s="130" t="s">
        <v>58</v>
      </c>
      <c r="F444" s="119">
        <v>753402</v>
      </c>
      <c r="G444" s="119" t="s">
        <v>70</v>
      </c>
      <c r="H444" s="119" t="s">
        <v>1346</v>
      </c>
      <c r="I444" s="131">
        <v>9</v>
      </c>
      <c r="J444" s="141" t="s">
        <v>1177</v>
      </c>
      <c r="K444" s="121" t="s">
        <v>939</v>
      </c>
      <c r="L444" s="37"/>
      <c r="M444" s="7"/>
      <c r="N444" s="7"/>
      <c r="O444" s="7"/>
      <c r="P444" s="7"/>
      <c r="Q444" s="7"/>
    </row>
    <row r="445" spans="2:17" customFormat="1" ht="15" customHeight="1">
      <c r="B445" s="5" t="s">
        <v>1074</v>
      </c>
      <c r="C445" s="283" t="s">
        <v>555</v>
      </c>
      <c r="D445" s="291" t="s">
        <v>556</v>
      </c>
      <c r="E445" s="130" t="s">
        <v>550</v>
      </c>
      <c r="F445" s="119">
        <v>753105</v>
      </c>
      <c r="G445" s="119" t="s">
        <v>543</v>
      </c>
      <c r="H445" s="119" t="s">
        <v>1323</v>
      </c>
      <c r="I445" s="131">
        <v>1</v>
      </c>
      <c r="J445" s="141" t="s">
        <v>547</v>
      </c>
      <c r="K445" s="121" t="s">
        <v>41</v>
      </c>
      <c r="L445" s="37"/>
      <c r="M445" s="7"/>
      <c r="N445" s="7"/>
      <c r="O445" s="7"/>
      <c r="P445" s="7"/>
      <c r="Q445" s="7"/>
    </row>
    <row r="446" spans="2:17" customFormat="1" ht="15" customHeight="1">
      <c r="B446" s="5" t="s">
        <v>1075</v>
      </c>
      <c r="C446" s="156" t="s">
        <v>2337</v>
      </c>
      <c r="D446" s="5" t="s">
        <v>561</v>
      </c>
      <c r="E446" s="283" t="s">
        <v>45</v>
      </c>
      <c r="F446" s="119">
        <v>522301</v>
      </c>
      <c r="G446" s="119" t="s">
        <v>43</v>
      </c>
      <c r="H446" s="133" t="s">
        <v>2331</v>
      </c>
      <c r="I446" s="131">
        <v>5</v>
      </c>
      <c r="J446" s="141" t="s">
        <v>117</v>
      </c>
      <c r="K446" s="122" t="s">
        <v>943</v>
      </c>
      <c r="L446" s="2"/>
      <c r="M446" s="7"/>
      <c r="N446" s="7"/>
      <c r="O446" s="7"/>
      <c r="P446" s="7"/>
      <c r="Q446" s="7"/>
    </row>
    <row r="447" spans="2:17" customFormat="1" ht="15" customHeight="1">
      <c r="B447" s="5" t="s">
        <v>1076</v>
      </c>
      <c r="C447" s="156" t="s">
        <v>2337</v>
      </c>
      <c r="D447" s="5" t="s">
        <v>561</v>
      </c>
      <c r="E447" s="130" t="s">
        <v>37</v>
      </c>
      <c r="F447" s="119">
        <v>751201</v>
      </c>
      <c r="G447" s="119" t="s">
        <v>183</v>
      </c>
      <c r="H447" s="119" t="s">
        <v>2362</v>
      </c>
      <c r="I447" s="131">
        <v>3</v>
      </c>
      <c r="J447" s="141" t="s">
        <v>117</v>
      </c>
      <c r="K447" s="122" t="s">
        <v>943</v>
      </c>
      <c r="L447" s="2"/>
      <c r="M447" s="7"/>
      <c r="N447" s="7"/>
      <c r="O447" s="7"/>
      <c r="P447" s="7"/>
      <c r="Q447" s="7"/>
    </row>
    <row r="448" spans="2:17" customFormat="1" ht="15" customHeight="1">
      <c r="B448" s="5" t="s">
        <v>1077</v>
      </c>
      <c r="C448" s="156" t="s">
        <v>2337</v>
      </c>
      <c r="D448" s="5" t="s">
        <v>561</v>
      </c>
      <c r="E448" s="283" t="s">
        <v>34</v>
      </c>
      <c r="F448" s="119">
        <v>723103</v>
      </c>
      <c r="G448" s="119" t="s">
        <v>75</v>
      </c>
      <c r="H448" s="119" t="s">
        <v>1434</v>
      </c>
      <c r="I448" s="131">
        <v>11</v>
      </c>
      <c r="J448" s="141" t="s">
        <v>117</v>
      </c>
      <c r="K448" s="122" t="s">
        <v>943</v>
      </c>
      <c r="L448" s="2"/>
      <c r="M448" s="12"/>
      <c r="N448" s="7"/>
      <c r="O448" s="7"/>
      <c r="P448" s="7"/>
      <c r="Q448" s="7"/>
    </row>
    <row r="449" spans="2:17" customFormat="1" ht="15.75" customHeight="1">
      <c r="B449" s="5" t="s">
        <v>1078</v>
      </c>
      <c r="C449" s="156" t="s">
        <v>2337</v>
      </c>
      <c r="D449" s="5" t="s">
        <v>561</v>
      </c>
      <c r="E449" s="130" t="s">
        <v>206</v>
      </c>
      <c r="F449" s="119">
        <v>722204</v>
      </c>
      <c r="G449" s="119" t="s">
        <v>185</v>
      </c>
      <c r="H449" s="119" t="s">
        <v>1343</v>
      </c>
      <c r="I449" s="145">
        <v>3</v>
      </c>
      <c r="J449" s="141" t="s">
        <v>59</v>
      </c>
      <c r="K449" s="221" t="s">
        <v>105</v>
      </c>
      <c r="L449" s="11"/>
      <c r="M449" s="12"/>
      <c r="N449" s="7"/>
      <c r="O449" s="7"/>
      <c r="P449" s="7"/>
      <c r="Q449" s="7"/>
    </row>
    <row r="450" spans="2:17" customFormat="1" ht="15.75" customHeight="1">
      <c r="B450" s="5" t="s">
        <v>1079</v>
      </c>
      <c r="C450" s="156" t="s">
        <v>2337</v>
      </c>
      <c r="D450" s="5" t="s">
        <v>561</v>
      </c>
      <c r="E450" s="207" t="s">
        <v>44</v>
      </c>
      <c r="F450" s="119">
        <v>512001</v>
      </c>
      <c r="G450" s="6" t="s">
        <v>81</v>
      </c>
      <c r="H450" s="295" t="s">
        <v>2248</v>
      </c>
      <c r="I450" s="131">
        <v>1</v>
      </c>
      <c r="J450" s="141" t="s">
        <v>117</v>
      </c>
      <c r="K450" s="122" t="s">
        <v>943</v>
      </c>
      <c r="L450" s="11"/>
      <c r="M450" s="12"/>
      <c r="N450" s="7"/>
      <c r="O450" s="7"/>
      <c r="P450" s="7"/>
      <c r="Q450" s="7"/>
    </row>
    <row r="451" spans="2:17" customFormat="1" ht="15.75" customHeight="1">
      <c r="B451" s="5" t="s">
        <v>1080</v>
      </c>
      <c r="C451" s="156" t="s">
        <v>2337</v>
      </c>
      <c r="D451" s="5" t="s">
        <v>561</v>
      </c>
      <c r="E451" s="283" t="s">
        <v>36</v>
      </c>
      <c r="F451" s="119">
        <v>514101</v>
      </c>
      <c r="G451" s="119" t="s">
        <v>77</v>
      </c>
      <c r="H451" s="119" t="s">
        <v>1434</v>
      </c>
      <c r="I451" s="131">
        <v>1</v>
      </c>
      <c r="J451" s="141" t="s">
        <v>117</v>
      </c>
      <c r="K451" s="122" t="s">
        <v>943</v>
      </c>
      <c r="L451" s="11"/>
      <c r="M451" s="12"/>
      <c r="N451" s="7"/>
      <c r="O451" s="7"/>
      <c r="P451" s="7"/>
      <c r="Q451" s="7"/>
    </row>
    <row r="452" spans="2:17" customFormat="1" ht="15" customHeight="1">
      <c r="B452" s="5" t="s">
        <v>1081</v>
      </c>
      <c r="C452" s="156" t="s">
        <v>2337</v>
      </c>
      <c r="D452" s="5" t="s">
        <v>561</v>
      </c>
      <c r="E452" s="130" t="s">
        <v>103</v>
      </c>
      <c r="F452" s="119">
        <v>722307</v>
      </c>
      <c r="G452" s="119" t="s">
        <v>83</v>
      </c>
      <c r="H452" s="119" t="s">
        <v>2415</v>
      </c>
      <c r="I452" s="131">
        <v>13</v>
      </c>
      <c r="J452" s="141" t="s">
        <v>117</v>
      </c>
      <c r="K452" s="122" t="s">
        <v>943</v>
      </c>
      <c r="L452" s="2"/>
      <c r="M452" s="12"/>
      <c r="N452" s="7"/>
      <c r="O452" s="7"/>
      <c r="P452" s="7"/>
      <c r="Q452" s="7"/>
    </row>
    <row r="453" spans="2:17" customFormat="1" ht="15" customHeight="1">
      <c r="B453" s="5" t="s">
        <v>1082</v>
      </c>
      <c r="C453" s="156" t="s">
        <v>2337</v>
      </c>
      <c r="D453" s="5" t="s">
        <v>561</v>
      </c>
      <c r="E453" s="221" t="s">
        <v>198</v>
      </c>
      <c r="F453" s="119">
        <v>712618</v>
      </c>
      <c r="G453" s="119" t="s">
        <v>86</v>
      </c>
      <c r="H453" s="119" t="s">
        <v>1434</v>
      </c>
      <c r="I453" s="131">
        <v>1</v>
      </c>
      <c r="J453" s="141" t="s">
        <v>117</v>
      </c>
      <c r="K453" s="122" t="s">
        <v>943</v>
      </c>
      <c r="L453" s="2"/>
      <c r="M453" s="12"/>
      <c r="N453" s="7"/>
      <c r="O453" s="7"/>
      <c r="P453" s="7"/>
      <c r="Q453" s="7"/>
    </row>
    <row r="454" spans="2:17" customFormat="1" ht="15" customHeight="1">
      <c r="B454" s="5" t="s">
        <v>1083</v>
      </c>
      <c r="C454" s="156" t="s">
        <v>2337</v>
      </c>
      <c r="D454" s="291" t="s">
        <v>561</v>
      </c>
      <c r="E454" s="130" t="s">
        <v>84</v>
      </c>
      <c r="F454" s="119">
        <v>343101</v>
      </c>
      <c r="G454" s="119" t="s">
        <v>65</v>
      </c>
      <c r="H454" s="119" t="s">
        <v>1344</v>
      </c>
      <c r="I454" s="131">
        <v>3</v>
      </c>
      <c r="J454" s="358" t="s">
        <v>1501</v>
      </c>
      <c r="K454" s="357" t="s">
        <v>1503</v>
      </c>
      <c r="L454" s="2"/>
      <c r="M454" s="12"/>
      <c r="N454" s="7"/>
      <c r="O454" s="7"/>
      <c r="P454" s="7"/>
      <c r="Q454" s="7"/>
    </row>
    <row r="455" spans="2:17" customFormat="1" ht="15" customHeight="1">
      <c r="B455" s="5" t="s">
        <v>1084</v>
      </c>
      <c r="C455" s="156" t="s">
        <v>2337</v>
      </c>
      <c r="D455" s="5" t="s">
        <v>561</v>
      </c>
      <c r="E455" s="130" t="s">
        <v>53</v>
      </c>
      <c r="F455" s="119">
        <v>741203</v>
      </c>
      <c r="G455" s="119" t="s">
        <v>64</v>
      </c>
      <c r="H455" s="119" t="s">
        <v>1349</v>
      </c>
      <c r="I455" s="145">
        <v>1</v>
      </c>
      <c r="J455" s="141" t="s">
        <v>59</v>
      </c>
      <c r="K455" s="122" t="s">
        <v>105</v>
      </c>
      <c r="L455" s="40"/>
      <c r="M455" s="12"/>
      <c r="N455" s="7"/>
      <c r="O455" s="7"/>
      <c r="P455" s="7"/>
      <c r="Q455" s="7"/>
    </row>
    <row r="456" spans="2:17" customFormat="1" ht="15" customHeight="1">
      <c r="B456" s="5" t="s">
        <v>1085</v>
      </c>
      <c r="C456" s="283" t="s">
        <v>562</v>
      </c>
      <c r="D456" s="5" t="s">
        <v>192</v>
      </c>
      <c r="E456" s="130" t="s">
        <v>37</v>
      </c>
      <c r="F456" s="119">
        <v>751201</v>
      </c>
      <c r="G456" s="119" t="s">
        <v>183</v>
      </c>
      <c r="H456" s="119" t="s">
        <v>1349</v>
      </c>
      <c r="I456" s="145">
        <v>1</v>
      </c>
      <c r="J456" s="141" t="s">
        <v>59</v>
      </c>
      <c r="K456" s="122" t="s">
        <v>105</v>
      </c>
      <c r="L456" s="40"/>
      <c r="M456" s="12"/>
      <c r="N456" s="7"/>
      <c r="O456" s="7"/>
      <c r="P456" s="7"/>
      <c r="Q456" s="7"/>
    </row>
    <row r="457" spans="2:17" customFormat="1" ht="15" customHeight="1">
      <c r="B457" s="5" t="s">
        <v>1086</v>
      </c>
      <c r="C457" s="283" t="s">
        <v>562</v>
      </c>
      <c r="D457" s="5" t="s">
        <v>192</v>
      </c>
      <c r="E457" s="283" t="s">
        <v>36</v>
      </c>
      <c r="F457" s="119">
        <v>514101</v>
      </c>
      <c r="G457" s="119" t="s">
        <v>77</v>
      </c>
      <c r="H457" s="119" t="s">
        <v>2394</v>
      </c>
      <c r="I457" s="145">
        <v>1</v>
      </c>
      <c r="J457" s="141" t="s">
        <v>59</v>
      </c>
      <c r="K457" s="122" t="s">
        <v>105</v>
      </c>
      <c r="L457" s="40"/>
      <c r="M457" s="7"/>
      <c r="N457" s="7"/>
      <c r="O457" s="7"/>
      <c r="P457" s="7"/>
      <c r="Q457" s="7"/>
    </row>
    <row r="458" spans="2:17" customFormat="1" ht="15" customHeight="1">
      <c r="B458" s="5" t="s">
        <v>1087</v>
      </c>
      <c r="C458" s="283" t="s">
        <v>562</v>
      </c>
      <c r="D458" s="5" t="s">
        <v>192</v>
      </c>
      <c r="E458" s="207" t="s">
        <v>44</v>
      </c>
      <c r="F458" s="119">
        <v>512001</v>
      </c>
      <c r="G458" s="6" t="s">
        <v>81</v>
      </c>
      <c r="H458" s="133" t="s">
        <v>1344</v>
      </c>
      <c r="I458" s="145">
        <v>7</v>
      </c>
      <c r="J458" s="141" t="s">
        <v>59</v>
      </c>
      <c r="K458" s="122" t="s">
        <v>105</v>
      </c>
      <c r="L458" s="40"/>
      <c r="M458" s="7"/>
      <c r="N458" s="7"/>
      <c r="O458" s="7"/>
      <c r="P458" s="7"/>
      <c r="Q458" s="7"/>
    </row>
    <row r="459" spans="2:17" customFormat="1" ht="15" customHeight="1">
      <c r="B459" s="5" t="s">
        <v>1088</v>
      </c>
      <c r="C459" s="283" t="s">
        <v>562</v>
      </c>
      <c r="D459" s="5" t="s">
        <v>192</v>
      </c>
      <c r="E459" s="130" t="s">
        <v>1435</v>
      </c>
      <c r="F459" s="119">
        <v>713203</v>
      </c>
      <c r="G459" s="119" t="s">
        <v>66</v>
      </c>
      <c r="H459" s="119" t="s">
        <v>1344</v>
      </c>
      <c r="I459" s="145">
        <v>1</v>
      </c>
      <c r="J459" s="141" t="s">
        <v>59</v>
      </c>
      <c r="K459" s="122" t="s">
        <v>105</v>
      </c>
      <c r="L459" s="40"/>
      <c r="M459" s="7"/>
      <c r="N459" s="7"/>
      <c r="O459" s="7"/>
      <c r="P459" s="7"/>
      <c r="Q459" s="7"/>
    </row>
    <row r="460" spans="2:17" customFormat="1" ht="15" customHeight="1">
      <c r="B460" s="5" t="s">
        <v>1089</v>
      </c>
      <c r="C460" s="283" t="s">
        <v>562</v>
      </c>
      <c r="D460" s="5" t="s">
        <v>192</v>
      </c>
      <c r="E460" s="283" t="s">
        <v>34</v>
      </c>
      <c r="F460" s="119">
        <v>723103</v>
      </c>
      <c r="G460" s="119" t="s">
        <v>75</v>
      </c>
      <c r="H460" s="119" t="s">
        <v>1345</v>
      </c>
      <c r="I460" s="145">
        <v>4</v>
      </c>
      <c r="J460" s="141" t="s">
        <v>59</v>
      </c>
      <c r="K460" s="122" t="s">
        <v>105</v>
      </c>
      <c r="L460" s="40"/>
      <c r="M460" s="7"/>
      <c r="N460" s="7"/>
      <c r="O460" s="7"/>
      <c r="P460" s="7"/>
      <c r="Q460" s="7"/>
    </row>
    <row r="461" spans="2:17" customFormat="1" ht="15" customHeight="1">
      <c r="B461" s="5" t="s">
        <v>1090</v>
      </c>
      <c r="C461" s="283" t="s">
        <v>562</v>
      </c>
      <c r="D461" s="5" t="s">
        <v>192</v>
      </c>
      <c r="E461" s="221" t="s">
        <v>198</v>
      </c>
      <c r="F461" s="119">
        <v>712618</v>
      </c>
      <c r="G461" s="119" t="s">
        <v>86</v>
      </c>
      <c r="H461" s="119" t="s">
        <v>1347</v>
      </c>
      <c r="I461" s="145">
        <v>2</v>
      </c>
      <c r="J461" s="141" t="s">
        <v>59</v>
      </c>
      <c r="K461" s="122" t="s">
        <v>105</v>
      </c>
      <c r="L461" s="40"/>
      <c r="M461" s="7"/>
      <c r="N461" s="7"/>
      <c r="O461" s="7"/>
      <c r="P461" s="7"/>
      <c r="Q461" s="7"/>
    </row>
    <row r="462" spans="2:17" customFormat="1" ht="15" customHeight="1">
      <c r="B462" s="5" t="s">
        <v>1091</v>
      </c>
      <c r="C462" s="283" t="s">
        <v>562</v>
      </c>
      <c r="D462" s="5" t="s">
        <v>192</v>
      </c>
      <c r="E462" s="130" t="s">
        <v>57</v>
      </c>
      <c r="F462" s="119">
        <v>751204</v>
      </c>
      <c r="G462" s="119" t="s">
        <v>68</v>
      </c>
      <c r="H462" s="119" t="s">
        <v>1348</v>
      </c>
      <c r="I462" s="145">
        <v>1</v>
      </c>
      <c r="J462" s="141" t="s">
        <v>59</v>
      </c>
      <c r="K462" s="122" t="s">
        <v>105</v>
      </c>
      <c r="L462" s="40"/>
      <c r="M462" s="7"/>
      <c r="N462" s="7"/>
      <c r="O462" s="7"/>
      <c r="P462" s="7"/>
      <c r="Q462" s="7"/>
    </row>
    <row r="463" spans="2:17" customFormat="1" ht="15" customHeight="1">
      <c r="B463" s="5" t="s">
        <v>1092</v>
      </c>
      <c r="C463" s="283" t="s">
        <v>562</v>
      </c>
      <c r="D463" s="5" t="s">
        <v>192</v>
      </c>
      <c r="E463" s="283" t="s">
        <v>45</v>
      </c>
      <c r="F463" s="119">
        <v>522301</v>
      </c>
      <c r="G463" s="119" t="s">
        <v>43</v>
      </c>
      <c r="H463" s="119" t="s">
        <v>1347</v>
      </c>
      <c r="I463" s="145">
        <v>4</v>
      </c>
      <c r="J463" s="141" t="s">
        <v>59</v>
      </c>
      <c r="K463" s="122" t="s">
        <v>105</v>
      </c>
      <c r="L463" s="40"/>
      <c r="M463" s="7"/>
      <c r="N463" s="7"/>
      <c r="O463" s="7"/>
      <c r="P463" s="7"/>
      <c r="Q463" s="7"/>
    </row>
    <row r="464" spans="2:17" customFormat="1" ht="15" customHeight="1">
      <c r="B464" s="5" t="s">
        <v>1093</v>
      </c>
      <c r="C464" s="283" t="s">
        <v>562</v>
      </c>
      <c r="D464" s="5" t="s">
        <v>192</v>
      </c>
      <c r="E464" s="130" t="s">
        <v>58</v>
      </c>
      <c r="F464" s="119">
        <v>753402</v>
      </c>
      <c r="G464" s="119" t="s">
        <v>70</v>
      </c>
      <c r="H464" s="119"/>
      <c r="I464" s="131">
        <v>1</v>
      </c>
      <c r="J464" s="141" t="s">
        <v>1177</v>
      </c>
      <c r="K464" s="121" t="s">
        <v>939</v>
      </c>
      <c r="L464" s="2"/>
      <c r="M464" s="7"/>
      <c r="N464" s="7"/>
      <c r="O464" s="7"/>
      <c r="P464" s="7"/>
      <c r="Q464" s="7"/>
    </row>
    <row r="465" spans="2:17" ht="15" customHeight="1">
      <c r="B465" s="5" t="s">
        <v>1094</v>
      </c>
      <c r="C465" s="283" t="s">
        <v>563</v>
      </c>
      <c r="D465" s="119" t="s">
        <v>564</v>
      </c>
      <c r="E465" s="283" t="s">
        <v>36</v>
      </c>
      <c r="F465" s="152">
        <v>514101</v>
      </c>
      <c r="G465" s="119" t="s">
        <v>77</v>
      </c>
      <c r="H465" s="309" t="s">
        <v>1405</v>
      </c>
      <c r="I465" s="153">
        <v>1</v>
      </c>
      <c r="J465" s="280" t="s">
        <v>116</v>
      </c>
      <c r="K465" s="207" t="s">
        <v>942</v>
      </c>
      <c r="M465" s="10"/>
      <c r="N465" s="10"/>
      <c r="O465" s="10"/>
      <c r="P465" s="10"/>
      <c r="Q465" s="281"/>
    </row>
    <row r="466" spans="2:17" ht="15" customHeight="1">
      <c r="B466" s="5" t="s">
        <v>1095</v>
      </c>
      <c r="C466" s="283" t="s">
        <v>563</v>
      </c>
      <c r="D466" s="119" t="s">
        <v>564</v>
      </c>
      <c r="E466" s="283" t="s">
        <v>36</v>
      </c>
      <c r="F466" s="152">
        <v>514101</v>
      </c>
      <c r="G466" s="119" t="s">
        <v>77</v>
      </c>
      <c r="H466" s="309" t="s">
        <v>1405</v>
      </c>
      <c r="I466" s="153">
        <v>4</v>
      </c>
      <c r="J466" s="280" t="s">
        <v>116</v>
      </c>
      <c r="K466" s="207" t="s">
        <v>942</v>
      </c>
      <c r="M466" s="10"/>
      <c r="N466" s="10"/>
      <c r="O466" s="10"/>
      <c r="P466" s="10"/>
      <c r="Q466" s="281"/>
    </row>
    <row r="467" spans="2:17" ht="15" customHeight="1">
      <c r="B467" s="5" t="s">
        <v>1096</v>
      </c>
      <c r="C467" s="283" t="s">
        <v>563</v>
      </c>
      <c r="D467" s="119" t="s">
        <v>564</v>
      </c>
      <c r="E467" s="207" t="s">
        <v>44</v>
      </c>
      <c r="F467" s="152">
        <v>512001</v>
      </c>
      <c r="G467" s="6" t="s">
        <v>81</v>
      </c>
      <c r="H467" s="134" t="s">
        <v>1407</v>
      </c>
      <c r="I467" s="153">
        <v>1</v>
      </c>
      <c r="J467" s="280" t="s">
        <v>116</v>
      </c>
      <c r="K467" s="207" t="s">
        <v>942</v>
      </c>
      <c r="M467" s="10"/>
      <c r="N467" s="10"/>
      <c r="O467" s="10"/>
      <c r="P467" s="10"/>
      <c r="Q467" s="281"/>
    </row>
    <row r="468" spans="2:17" customFormat="1" ht="15" customHeight="1">
      <c r="B468" s="5" t="s">
        <v>1097</v>
      </c>
      <c r="C468" s="283" t="s">
        <v>563</v>
      </c>
      <c r="D468" s="5" t="s">
        <v>564</v>
      </c>
      <c r="E468" s="130" t="s">
        <v>103</v>
      </c>
      <c r="F468" s="152">
        <v>722307</v>
      </c>
      <c r="G468" s="152" t="s">
        <v>83</v>
      </c>
      <c r="H468" s="119" t="s">
        <v>1349</v>
      </c>
      <c r="I468" s="378">
        <v>3</v>
      </c>
      <c r="J468" s="141" t="s">
        <v>59</v>
      </c>
      <c r="K468" s="121" t="s">
        <v>105</v>
      </c>
      <c r="L468" s="2"/>
      <c r="M468" s="7"/>
      <c r="N468" s="7"/>
      <c r="O468" s="7"/>
      <c r="P468" s="7"/>
      <c r="Q468" s="7"/>
    </row>
    <row r="469" spans="2:17" customFormat="1" ht="15" customHeight="1">
      <c r="B469" s="5" t="s">
        <v>1098</v>
      </c>
      <c r="C469" s="283" t="s">
        <v>563</v>
      </c>
      <c r="D469" s="5" t="s">
        <v>564</v>
      </c>
      <c r="E469" s="130" t="s">
        <v>103</v>
      </c>
      <c r="F469" s="152">
        <v>722307</v>
      </c>
      <c r="G469" s="119" t="s">
        <v>83</v>
      </c>
      <c r="H469" s="119" t="s">
        <v>1349</v>
      </c>
      <c r="I469" s="378">
        <v>6</v>
      </c>
      <c r="J469" s="141" t="s">
        <v>59</v>
      </c>
      <c r="K469" s="121" t="s">
        <v>105</v>
      </c>
      <c r="L469" s="2"/>
      <c r="M469" s="7"/>
      <c r="N469" s="7"/>
      <c r="O469" s="7"/>
      <c r="P469" s="7"/>
      <c r="Q469" s="7"/>
    </row>
    <row r="470" spans="2:17" ht="45" customHeight="1">
      <c r="B470" s="5" t="s">
        <v>1099</v>
      </c>
      <c r="C470" s="283" t="s">
        <v>563</v>
      </c>
      <c r="D470" s="119" t="s">
        <v>564</v>
      </c>
      <c r="E470" s="283" t="s">
        <v>45</v>
      </c>
      <c r="F470" s="152">
        <v>522301</v>
      </c>
      <c r="G470" s="119" t="s">
        <v>43</v>
      </c>
      <c r="H470" s="309" t="s">
        <v>1418</v>
      </c>
      <c r="I470" s="153">
        <v>2</v>
      </c>
      <c r="J470" s="280" t="s">
        <v>116</v>
      </c>
      <c r="K470" s="207" t="s">
        <v>942</v>
      </c>
      <c r="M470" s="10"/>
      <c r="N470" s="10"/>
      <c r="O470" s="10"/>
      <c r="P470" s="10"/>
      <c r="Q470" s="281"/>
    </row>
    <row r="471" spans="2:17" ht="45" customHeight="1">
      <c r="B471" s="5" t="s">
        <v>1100</v>
      </c>
      <c r="C471" s="283" t="s">
        <v>563</v>
      </c>
      <c r="D471" s="119" t="s">
        <v>564</v>
      </c>
      <c r="E471" s="283" t="s">
        <v>45</v>
      </c>
      <c r="F471" s="152">
        <v>522301</v>
      </c>
      <c r="G471" s="119" t="s">
        <v>43</v>
      </c>
      <c r="H471" s="309" t="s">
        <v>1418</v>
      </c>
      <c r="I471" s="153">
        <v>6</v>
      </c>
      <c r="J471" s="280" t="s">
        <v>116</v>
      </c>
      <c r="K471" s="207" t="s">
        <v>942</v>
      </c>
      <c r="M471" s="10"/>
      <c r="N471" s="10"/>
      <c r="O471" s="10"/>
      <c r="P471" s="10"/>
      <c r="Q471" s="281"/>
    </row>
    <row r="472" spans="2:17" customFormat="1" ht="15" customHeight="1">
      <c r="B472" s="5" t="s">
        <v>1101</v>
      </c>
      <c r="C472" s="283" t="s">
        <v>563</v>
      </c>
      <c r="D472" s="5" t="s">
        <v>564</v>
      </c>
      <c r="E472" s="283" t="s">
        <v>34</v>
      </c>
      <c r="F472" s="152">
        <v>723103</v>
      </c>
      <c r="G472" s="119" t="s">
        <v>75</v>
      </c>
      <c r="H472" s="119" t="s">
        <v>1341</v>
      </c>
      <c r="I472" s="153">
        <v>3</v>
      </c>
      <c r="J472" s="161" t="s">
        <v>566</v>
      </c>
      <c r="K472" s="122" t="s">
        <v>579</v>
      </c>
      <c r="L472" s="2"/>
      <c r="M472" s="7"/>
      <c r="N472" s="7"/>
      <c r="O472" s="7"/>
      <c r="P472" s="65"/>
      <c r="Q472" s="7"/>
    </row>
    <row r="473" spans="2:17" customFormat="1" ht="15" customHeight="1">
      <c r="B473" s="5" t="s">
        <v>1102</v>
      </c>
      <c r="C473" s="283" t="s">
        <v>563</v>
      </c>
      <c r="D473" s="5" t="s">
        <v>564</v>
      </c>
      <c r="E473" s="130" t="s">
        <v>175</v>
      </c>
      <c r="F473" s="152">
        <v>711204</v>
      </c>
      <c r="G473" s="152" t="s">
        <v>106</v>
      </c>
      <c r="H473" s="152"/>
      <c r="I473" s="153">
        <v>1</v>
      </c>
      <c r="J473" s="141" t="s">
        <v>61</v>
      </c>
      <c r="K473" s="121" t="s">
        <v>851</v>
      </c>
      <c r="L473" s="2"/>
      <c r="M473" s="7"/>
      <c r="N473" s="7"/>
      <c r="O473" s="7"/>
      <c r="P473" s="7"/>
      <c r="Q473" s="7"/>
    </row>
    <row r="474" spans="2:17" customFormat="1" ht="15" customHeight="1">
      <c r="B474" s="5" t="s">
        <v>1103</v>
      </c>
      <c r="C474" s="283" t="s">
        <v>563</v>
      </c>
      <c r="D474" s="5" t="s">
        <v>564</v>
      </c>
      <c r="E474" s="130" t="s">
        <v>175</v>
      </c>
      <c r="F474" s="152">
        <v>711204</v>
      </c>
      <c r="G474" s="119" t="s">
        <v>106</v>
      </c>
      <c r="H474" s="152"/>
      <c r="I474" s="153">
        <v>3</v>
      </c>
      <c r="J474" s="141" t="s">
        <v>61</v>
      </c>
      <c r="K474" s="121" t="s">
        <v>851</v>
      </c>
      <c r="L474" s="2"/>
      <c r="M474" s="7"/>
      <c r="N474" s="7"/>
      <c r="O474" s="7"/>
      <c r="P474" s="7"/>
      <c r="Q474" s="7"/>
    </row>
    <row r="475" spans="2:17" customFormat="1" ht="15" customHeight="1">
      <c r="B475" s="5" t="s">
        <v>1104</v>
      </c>
      <c r="C475" s="283" t="s">
        <v>563</v>
      </c>
      <c r="D475" s="291" t="s">
        <v>564</v>
      </c>
      <c r="E475" s="151" t="s">
        <v>565</v>
      </c>
      <c r="F475" s="152">
        <v>712101</v>
      </c>
      <c r="G475" s="119" t="s">
        <v>184</v>
      </c>
      <c r="H475" s="119" t="s">
        <v>1322</v>
      </c>
      <c r="I475" s="153">
        <v>1</v>
      </c>
      <c r="J475" s="141" t="s">
        <v>547</v>
      </c>
      <c r="K475" s="121" t="s">
        <v>41</v>
      </c>
      <c r="L475" s="2"/>
      <c r="M475" s="7"/>
      <c r="N475" s="7"/>
      <c r="O475" s="7"/>
      <c r="P475" s="7"/>
      <c r="Q475" s="7"/>
    </row>
    <row r="476" spans="2:17" customFormat="1" ht="15" customHeight="1">
      <c r="B476" s="5" t="s">
        <v>1105</v>
      </c>
      <c r="C476" s="283" t="s">
        <v>563</v>
      </c>
      <c r="D476" s="291" t="s">
        <v>564</v>
      </c>
      <c r="E476" s="151" t="s">
        <v>565</v>
      </c>
      <c r="F476" s="152">
        <v>712101</v>
      </c>
      <c r="G476" s="119" t="s">
        <v>184</v>
      </c>
      <c r="H476" s="119" t="s">
        <v>1322</v>
      </c>
      <c r="I476" s="153">
        <v>1</v>
      </c>
      <c r="J476" s="141" t="s">
        <v>547</v>
      </c>
      <c r="K476" s="121" t="s">
        <v>41</v>
      </c>
      <c r="L476" s="2"/>
      <c r="M476" s="7"/>
      <c r="N476" s="7"/>
      <c r="O476" s="7"/>
      <c r="P476" s="7"/>
      <c r="Q476" s="7"/>
    </row>
    <row r="477" spans="2:17" customFormat="1" ht="15" customHeight="1">
      <c r="B477" s="5" t="s">
        <v>1106</v>
      </c>
      <c r="C477" s="283" t="s">
        <v>567</v>
      </c>
      <c r="D477" s="5" t="s">
        <v>568</v>
      </c>
      <c r="E477" s="130" t="s">
        <v>37</v>
      </c>
      <c r="F477" s="119">
        <v>751201</v>
      </c>
      <c r="G477" s="119" t="s">
        <v>183</v>
      </c>
      <c r="H477" s="119" t="s">
        <v>2362</v>
      </c>
      <c r="I477" s="131">
        <v>4</v>
      </c>
      <c r="J477" s="141" t="s">
        <v>117</v>
      </c>
      <c r="K477" s="122" t="s">
        <v>943</v>
      </c>
      <c r="L477" s="2"/>
      <c r="M477" s="7"/>
      <c r="N477" s="7"/>
      <c r="O477" s="7"/>
      <c r="P477" s="7"/>
      <c r="Q477" s="7"/>
    </row>
    <row r="478" spans="2:17" customFormat="1" ht="15" customHeight="1">
      <c r="B478" s="5" t="s">
        <v>1107</v>
      </c>
      <c r="C478" s="283" t="s">
        <v>567</v>
      </c>
      <c r="D478" s="5" t="s">
        <v>568</v>
      </c>
      <c r="E478" s="130" t="s">
        <v>38</v>
      </c>
      <c r="F478" s="119">
        <v>741103</v>
      </c>
      <c r="G478" s="119" t="s">
        <v>54</v>
      </c>
      <c r="H478" s="133" t="s">
        <v>2331</v>
      </c>
      <c r="I478" s="131">
        <v>2</v>
      </c>
      <c r="J478" s="141" t="s">
        <v>117</v>
      </c>
      <c r="K478" s="122" t="s">
        <v>943</v>
      </c>
      <c r="L478" s="2"/>
      <c r="M478" s="7"/>
      <c r="N478" s="7"/>
      <c r="O478" s="7"/>
      <c r="P478" s="7"/>
      <c r="Q478" s="7"/>
    </row>
    <row r="479" spans="2:17" customFormat="1" ht="15" customHeight="1">
      <c r="B479" s="5" t="s">
        <v>1108</v>
      </c>
      <c r="C479" s="283" t="s">
        <v>567</v>
      </c>
      <c r="D479" s="5" t="s">
        <v>568</v>
      </c>
      <c r="E479" s="130" t="s">
        <v>33</v>
      </c>
      <c r="F479" s="119">
        <v>752205</v>
      </c>
      <c r="G479" s="119" t="s">
        <v>69</v>
      </c>
      <c r="H479" s="133" t="s">
        <v>2331</v>
      </c>
      <c r="I479" s="131">
        <v>3</v>
      </c>
      <c r="J479" s="141" t="s">
        <v>117</v>
      </c>
      <c r="K479" s="122" t="s">
        <v>943</v>
      </c>
      <c r="L479" s="2"/>
      <c r="M479" s="7"/>
      <c r="N479" s="7"/>
      <c r="O479" s="7"/>
      <c r="P479" s="7"/>
      <c r="Q479" s="7"/>
    </row>
    <row r="480" spans="2:17" customFormat="1" ht="15" customHeight="1">
      <c r="B480" s="5" t="s">
        <v>1109</v>
      </c>
      <c r="C480" s="283" t="s">
        <v>567</v>
      </c>
      <c r="D480" s="5" t="s">
        <v>568</v>
      </c>
      <c r="E480" s="283" t="s">
        <v>36</v>
      </c>
      <c r="F480" s="119">
        <v>514101</v>
      </c>
      <c r="G480" s="119" t="s">
        <v>77</v>
      </c>
      <c r="H480" s="295" t="s">
        <v>2248</v>
      </c>
      <c r="I480" s="131">
        <v>5</v>
      </c>
      <c r="J480" s="141" t="s">
        <v>117</v>
      </c>
      <c r="K480" s="122" t="s">
        <v>943</v>
      </c>
      <c r="L480" s="2"/>
      <c r="M480" s="7"/>
      <c r="N480" s="7"/>
      <c r="O480" s="7"/>
      <c r="P480" s="7"/>
      <c r="Q480" s="7"/>
    </row>
    <row r="481" spans="2:17" customFormat="1" ht="15" customHeight="1">
      <c r="B481" s="5" t="s">
        <v>1110</v>
      </c>
      <c r="C481" s="283" t="s">
        <v>567</v>
      </c>
      <c r="D481" s="5" t="s">
        <v>568</v>
      </c>
      <c r="E481" s="207" t="s">
        <v>44</v>
      </c>
      <c r="F481" s="119">
        <v>512001</v>
      </c>
      <c r="G481" s="6" t="s">
        <v>81</v>
      </c>
      <c r="H481" s="295" t="s">
        <v>2248</v>
      </c>
      <c r="I481" s="131">
        <v>3</v>
      </c>
      <c r="J481" s="141" t="s">
        <v>117</v>
      </c>
      <c r="K481" s="122" t="s">
        <v>943</v>
      </c>
      <c r="L481" s="2"/>
      <c r="M481" s="7"/>
      <c r="N481" s="7"/>
      <c r="O481" s="7"/>
      <c r="P481" s="7"/>
      <c r="Q481" s="7"/>
    </row>
    <row r="482" spans="2:17" customFormat="1" ht="15" customHeight="1">
      <c r="B482" s="5" t="s">
        <v>1111</v>
      </c>
      <c r="C482" s="283" t="s">
        <v>567</v>
      </c>
      <c r="D482" s="5" t="s">
        <v>568</v>
      </c>
      <c r="E482" s="283" t="s">
        <v>34</v>
      </c>
      <c r="F482" s="119">
        <v>723103</v>
      </c>
      <c r="G482" s="119" t="s">
        <v>75</v>
      </c>
      <c r="H482" s="119" t="s">
        <v>2415</v>
      </c>
      <c r="I482" s="131">
        <v>1</v>
      </c>
      <c r="J482" s="141" t="s">
        <v>117</v>
      </c>
      <c r="K482" s="122" t="s">
        <v>943</v>
      </c>
      <c r="L482" s="2"/>
      <c r="M482" s="7"/>
      <c r="N482" s="7"/>
      <c r="O482" s="7"/>
      <c r="P482" s="7"/>
      <c r="Q482" s="7"/>
    </row>
    <row r="483" spans="2:17" customFormat="1" ht="15" customHeight="1">
      <c r="B483" s="5" t="s">
        <v>1112</v>
      </c>
      <c r="C483" s="283" t="s">
        <v>567</v>
      </c>
      <c r="D483" s="5" t="s">
        <v>568</v>
      </c>
      <c r="E483" s="221" t="s">
        <v>198</v>
      </c>
      <c r="F483" s="119">
        <v>712618</v>
      </c>
      <c r="G483" s="119" t="s">
        <v>86</v>
      </c>
      <c r="H483" s="295" t="s">
        <v>1434</v>
      </c>
      <c r="I483" s="285">
        <v>1</v>
      </c>
      <c r="J483" s="284" t="s">
        <v>117</v>
      </c>
      <c r="K483" s="284" t="s">
        <v>943</v>
      </c>
      <c r="L483" s="2"/>
      <c r="M483" s="7"/>
      <c r="N483" s="7"/>
      <c r="O483" s="7"/>
      <c r="P483" s="7"/>
      <c r="Q483" s="7"/>
    </row>
    <row r="484" spans="2:17" customFormat="1" ht="15" customHeight="1">
      <c r="B484" s="5" t="s">
        <v>1113</v>
      </c>
      <c r="C484" s="283" t="s">
        <v>567</v>
      </c>
      <c r="D484" s="5" t="s">
        <v>568</v>
      </c>
      <c r="E484" s="130" t="s">
        <v>175</v>
      </c>
      <c r="F484" s="119">
        <v>711204</v>
      </c>
      <c r="G484" s="119" t="s">
        <v>106</v>
      </c>
      <c r="H484" s="119"/>
      <c r="I484" s="376">
        <v>0</v>
      </c>
      <c r="J484" s="141" t="s">
        <v>59</v>
      </c>
      <c r="K484" s="122" t="s">
        <v>105</v>
      </c>
      <c r="L484" s="82" t="s">
        <v>853</v>
      </c>
      <c r="M484" s="7"/>
      <c r="N484" s="7"/>
      <c r="O484" s="7"/>
      <c r="P484" s="7"/>
      <c r="Q484" s="7"/>
    </row>
    <row r="485" spans="2:17" customFormat="1" ht="17.25" customHeight="1">
      <c r="B485" s="5" t="s">
        <v>1114</v>
      </c>
      <c r="C485" s="283" t="s">
        <v>567</v>
      </c>
      <c r="D485" s="5" t="s">
        <v>568</v>
      </c>
      <c r="E485" s="283" t="s">
        <v>45</v>
      </c>
      <c r="F485" s="119">
        <v>522301</v>
      </c>
      <c r="G485" s="119" t="s">
        <v>43</v>
      </c>
      <c r="H485" s="133" t="s">
        <v>2331</v>
      </c>
      <c r="I485" s="131">
        <v>6</v>
      </c>
      <c r="J485" s="141" t="s">
        <v>117</v>
      </c>
      <c r="K485" s="122" t="s">
        <v>943</v>
      </c>
      <c r="L485" s="2"/>
      <c r="M485" s="7"/>
      <c r="N485" s="7"/>
      <c r="O485" s="7"/>
      <c r="P485" s="7"/>
      <c r="Q485" s="7"/>
    </row>
    <row r="486" spans="2:17" customFormat="1" ht="15" customHeight="1">
      <c r="B486" s="5" t="s">
        <v>1115</v>
      </c>
      <c r="C486" s="283" t="s">
        <v>567</v>
      </c>
      <c r="D486" s="5" t="s">
        <v>568</v>
      </c>
      <c r="E486" s="130" t="s">
        <v>58</v>
      </c>
      <c r="F486" s="119">
        <v>753402</v>
      </c>
      <c r="G486" s="119" t="s">
        <v>70</v>
      </c>
      <c r="H486" s="119" t="s">
        <v>2356</v>
      </c>
      <c r="I486" s="131">
        <v>21</v>
      </c>
      <c r="J486" s="141" t="s">
        <v>117</v>
      </c>
      <c r="K486" s="122" t="s">
        <v>943</v>
      </c>
      <c r="L486" s="2"/>
      <c r="M486" s="7"/>
      <c r="N486" s="7"/>
      <c r="O486" s="7"/>
      <c r="P486" s="7"/>
      <c r="Q486" s="7"/>
    </row>
    <row r="487" spans="2:17" customFormat="1" ht="15" customHeight="1">
      <c r="B487" s="5" t="s">
        <v>1116</v>
      </c>
      <c r="C487" s="283" t="s">
        <v>567</v>
      </c>
      <c r="D487" s="5" t="s">
        <v>568</v>
      </c>
      <c r="E487" s="130" t="s">
        <v>46</v>
      </c>
      <c r="F487" s="119">
        <v>741201</v>
      </c>
      <c r="G487" s="119" t="s">
        <v>182</v>
      </c>
      <c r="H487" s="119"/>
      <c r="I487" s="131">
        <v>2</v>
      </c>
      <c r="J487" s="141" t="s">
        <v>573</v>
      </c>
      <c r="K487" s="121" t="s">
        <v>852</v>
      </c>
      <c r="L487" s="2"/>
      <c r="M487" s="7"/>
      <c r="N487" s="7"/>
      <c r="O487" s="7"/>
      <c r="P487" s="7"/>
      <c r="Q487" s="7"/>
    </row>
    <row r="488" spans="2:17" customFormat="1" ht="15" customHeight="1">
      <c r="B488" s="5" t="s">
        <v>1117</v>
      </c>
      <c r="C488" s="283" t="s">
        <v>567</v>
      </c>
      <c r="D488" s="5" t="s">
        <v>568</v>
      </c>
      <c r="E488" s="130" t="s">
        <v>263</v>
      </c>
      <c r="F488" s="5">
        <v>742117</v>
      </c>
      <c r="G488" s="5" t="s">
        <v>221</v>
      </c>
      <c r="H488" s="119"/>
      <c r="I488" s="119">
        <v>1</v>
      </c>
      <c r="J488" s="141" t="s">
        <v>573</v>
      </c>
      <c r="K488" s="121" t="s">
        <v>852</v>
      </c>
      <c r="L488" s="2"/>
      <c r="M488" s="7"/>
      <c r="N488" s="7"/>
      <c r="O488" s="7"/>
      <c r="P488" s="7"/>
      <c r="Q488" s="7"/>
    </row>
    <row r="489" spans="2:17" customFormat="1" ht="15" customHeight="1">
      <c r="B489" s="5" t="s">
        <v>1118</v>
      </c>
      <c r="C489" s="283" t="s">
        <v>574</v>
      </c>
      <c r="D489" s="5" t="s">
        <v>256</v>
      </c>
      <c r="E489" s="130" t="s">
        <v>53</v>
      </c>
      <c r="F489" s="119">
        <v>741203</v>
      </c>
      <c r="G489" s="119" t="s">
        <v>64</v>
      </c>
      <c r="H489" s="119" t="s">
        <v>1349</v>
      </c>
      <c r="I489" s="145">
        <v>1</v>
      </c>
      <c r="J489" s="141" t="s">
        <v>59</v>
      </c>
      <c r="K489" s="122" t="s">
        <v>105</v>
      </c>
      <c r="L489" s="40"/>
      <c r="M489" s="7"/>
      <c r="N489" s="7"/>
      <c r="O489" s="7"/>
      <c r="P489" s="7"/>
      <c r="Q489" s="7"/>
    </row>
    <row r="490" spans="2:17" customFormat="1" ht="15" customHeight="1">
      <c r="B490" s="5" t="s">
        <v>1119</v>
      </c>
      <c r="C490" s="283" t="s">
        <v>574</v>
      </c>
      <c r="D490" s="5" t="s">
        <v>256</v>
      </c>
      <c r="E490" s="130" t="s">
        <v>175</v>
      </c>
      <c r="F490" s="119">
        <v>711204</v>
      </c>
      <c r="G490" s="119" t="s">
        <v>106</v>
      </c>
      <c r="H490" s="119"/>
      <c r="I490" s="376">
        <v>0</v>
      </c>
      <c r="J490" s="141" t="s">
        <v>59</v>
      </c>
      <c r="K490" s="122" t="s">
        <v>105</v>
      </c>
      <c r="L490" s="40"/>
      <c r="M490" s="7"/>
      <c r="N490" s="7"/>
      <c r="O490" s="7"/>
      <c r="P490" s="7"/>
      <c r="Q490" s="7"/>
    </row>
    <row r="491" spans="2:17" customFormat="1" ht="15" customHeight="1">
      <c r="B491" s="5" t="s">
        <v>1120</v>
      </c>
      <c r="C491" s="283" t="s">
        <v>574</v>
      </c>
      <c r="D491" s="5" t="s">
        <v>256</v>
      </c>
      <c r="E491" s="283" t="s">
        <v>36</v>
      </c>
      <c r="F491" s="119">
        <v>514101</v>
      </c>
      <c r="G491" s="119" t="s">
        <v>77</v>
      </c>
      <c r="H491" s="119" t="s">
        <v>1345</v>
      </c>
      <c r="I491" s="145">
        <v>3</v>
      </c>
      <c r="J491" s="141" t="s">
        <v>59</v>
      </c>
      <c r="K491" s="122" t="s">
        <v>105</v>
      </c>
      <c r="L491" s="40"/>
      <c r="M491" s="7"/>
      <c r="N491" s="7"/>
      <c r="O491" s="7"/>
      <c r="P491" s="7"/>
      <c r="Q491" s="7"/>
    </row>
    <row r="492" spans="2:17" customFormat="1" ht="15" customHeight="1">
      <c r="B492" s="5" t="s">
        <v>1121</v>
      </c>
      <c r="C492" s="283" t="s">
        <v>574</v>
      </c>
      <c r="D492" s="5" t="s">
        <v>256</v>
      </c>
      <c r="E492" s="283" t="s">
        <v>34</v>
      </c>
      <c r="F492" s="119">
        <v>723103</v>
      </c>
      <c r="G492" s="119" t="s">
        <v>75</v>
      </c>
      <c r="H492" s="119" t="s">
        <v>1343</v>
      </c>
      <c r="I492" s="145">
        <v>7</v>
      </c>
      <c r="J492" s="141" t="s">
        <v>59</v>
      </c>
      <c r="K492" s="122" t="s">
        <v>105</v>
      </c>
      <c r="L492" s="40"/>
      <c r="M492" s="7"/>
      <c r="N492" s="7"/>
      <c r="O492" s="7"/>
      <c r="P492" s="7"/>
      <c r="Q492" s="7"/>
    </row>
    <row r="493" spans="2:17" customFormat="1" ht="15" customHeight="1">
      <c r="B493" s="5" t="s">
        <v>1122</v>
      </c>
      <c r="C493" s="283" t="s">
        <v>574</v>
      </c>
      <c r="D493" s="5" t="s">
        <v>256</v>
      </c>
      <c r="E493" s="130" t="s">
        <v>1435</v>
      </c>
      <c r="F493" s="119">
        <v>713203</v>
      </c>
      <c r="G493" s="119" t="s">
        <v>66</v>
      </c>
      <c r="H493" s="119" t="s">
        <v>1344</v>
      </c>
      <c r="I493" s="145">
        <v>2</v>
      </c>
      <c r="J493" s="141" t="s">
        <v>59</v>
      </c>
      <c r="K493" s="122" t="s">
        <v>105</v>
      </c>
      <c r="L493" s="40"/>
      <c r="M493" s="7"/>
      <c r="N493" s="7"/>
      <c r="O493" s="7"/>
      <c r="P493" s="7"/>
      <c r="Q493" s="7"/>
    </row>
    <row r="494" spans="2:17" customFormat="1" ht="15" customHeight="1">
      <c r="B494" s="5" t="s">
        <v>1123</v>
      </c>
      <c r="C494" s="283" t="s">
        <v>574</v>
      </c>
      <c r="D494" s="5" t="s">
        <v>256</v>
      </c>
      <c r="E494" s="283" t="s">
        <v>45</v>
      </c>
      <c r="F494" s="119">
        <v>522301</v>
      </c>
      <c r="G494" s="119" t="s">
        <v>43</v>
      </c>
      <c r="H494" s="119" t="s">
        <v>1347</v>
      </c>
      <c r="I494" s="145">
        <v>5</v>
      </c>
      <c r="J494" s="141" t="s">
        <v>59</v>
      </c>
      <c r="K494" s="122" t="s">
        <v>105</v>
      </c>
      <c r="L494" s="40"/>
      <c r="M494" s="7"/>
      <c r="N494" s="7"/>
      <c r="O494" s="7"/>
      <c r="P494" s="7"/>
      <c r="Q494" s="7"/>
    </row>
    <row r="495" spans="2:17" customFormat="1" ht="15" customHeight="1">
      <c r="B495" s="5" t="s">
        <v>1124</v>
      </c>
      <c r="C495" s="283" t="s">
        <v>574</v>
      </c>
      <c r="D495" s="5" t="s">
        <v>256</v>
      </c>
      <c r="E495" s="207" t="s">
        <v>44</v>
      </c>
      <c r="F495" s="119">
        <v>512001</v>
      </c>
      <c r="G495" s="6" t="s">
        <v>81</v>
      </c>
      <c r="H495" s="119" t="s">
        <v>1343</v>
      </c>
      <c r="I495" s="376">
        <v>0</v>
      </c>
      <c r="J495" s="141" t="s">
        <v>59</v>
      </c>
      <c r="K495" s="122" t="s">
        <v>105</v>
      </c>
      <c r="L495" s="40"/>
      <c r="M495" s="7"/>
      <c r="N495" s="7"/>
      <c r="O495" s="7"/>
      <c r="P495" s="7"/>
      <c r="Q495" s="7"/>
    </row>
    <row r="496" spans="2:17" customFormat="1" ht="15" customHeight="1">
      <c r="B496" s="5" t="s">
        <v>1125</v>
      </c>
      <c r="C496" s="283" t="s">
        <v>574</v>
      </c>
      <c r="D496" s="5" t="s">
        <v>256</v>
      </c>
      <c r="E496" s="130" t="s">
        <v>37</v>
      </c>
      <c r="F496" s="119">
        <v>751201</v>
      </c>
      <c r="G496" s="119" t="s">
        <v>183</v>
      </c>
      <c r="H496" s="119" t="s">
        <v>1349</v>
      </c>
      <c r="I496" s="145">
        <v>3</v>
      </c>
      <c r="J496" s="141" t="s">
        <v>59</v>
      </c>
      <c r="K496" s="122" t="s">
        <v>105</v>
      </c>
      <c r="L496" s="40"/>
      <c r="M496" s="7"/>
      <c r="N496" s="7"/>
      <c r="O496" s="7"/>
      <c r="P496" s="7"/>
      <c r="Q496" s="7"/>
    </row>
    <row r="497" spans="2:17" customFormat="1" ht="15" customHeight="1">
      <c r="B497" s="5" t="s">
        <v>1126</v>
      </c>
      <c r="C497" s="283" t="s">
        <v>574</v>
      </c>
      <c r="D497" s="5" t="s">
        <v>256</v>
      </c>
      <c r="E497" s="130" t="s">
        <v>33</v>
      </c>
      <c r="F497" s="119">
        <v>752205</v>
      </c>
      <c r="G497" s="119" t="s">
        <v>69</v>
      </c>
      <c r="H497" s="119" t="s">
        <v>1343</v>
      </c>
      <c r="I497" s="145">
        <v>1</v>
      </c>
      <c r="J497" s="141" t="s">
        <v>59</v>
      </c>
      <c r="K497" s="122" t="s">
        <v>105</v>
      </c>
      <c r="L497" s="40"/>
      <c r="M497" s="7"/>
      <c r="N497" s="7"/>
      <c r="O497" s="7"/>
      <c r="P497" s="7"/>
      <c r="Q497" s="7"/>
    </row>
    <row r="498" spans="2:17" customFormat="1" ht="15" customHeight="1">
      <c r="B498" s="5" t="s">
        <v>1127</v>
      </c>
      <c r="C498" s="283" t="s">
        <v>574</v>
      </c>
      <c r="D498" s="5" t="s">
        <v>256</v>
      </c>
      <c r="E498" s="221" t="s">
        <v>198</v>
      </c>
      <c r="F498" s="119">
        <v>712618</v>
      </c>
      <c r="G498" s="119" t="s">
        <v>86</v>
      </c>
      <c r="H498" s="119" t="s">
        <v>1347</v>
      </c>
      <c r="I498" s="145">
        <v>1</v>
      </c>
      <c r="J498" s="141" t="s">
        <v>59</v>
      </c>
      <c r="K498" s="122" t="s">
        <v>105</v>
      </c>
      <c r="L498" s="40"/>
      <c r="M498" s="7"/>
      <c r="N498" s="7"/>
      <c r="O498" s="7"/>
      <c r="P498" s="7"/>
      <c r="Q498" s="7"/>
    </row>
    <row r="499" spans="2:17" customFormat="1" ht="15" customHeight="1">
      <c r="B499" s="5" t="s">
        <v>1176</v>
      </c>
      <c r="C499" s="283" t="s">
        <v>574</v>
      </c>
      <c r="D499" s="5" t="s">
        <v>256</v>
      </c>
      <c r="E499" s="130" t="s">
        <v>52</v>
      </c>
      <c r="F499" s="119">
        <v>721306</v>
      </c>
      <c r="G499" s="119" t="s">
        <v>63</v>
      </c>
      <c r="H499" s="119" t="s">
        <v>2394</v>
      </c>
      <c r="I499" s="145">
        <v>2</v>
      </c>
      <c r="J499" s="141" t="s">
        <v>59</v>
      </c>
      <c r="K499" s="122" t="s">
        <v>105</v>
      </c>
      <c r="L499" s="40"/>
      <c r="M499" s="7"/>
      <c r="N499" s="7"/>
      <c r="O499" s="7"/>
      <c r="P499" s="7"/>
      <c r="Q499" s="7"/>
    </row>
    <row r="500" spans="2:17" customFormat="1" ht="15" customHeight="1">
      <c r="B500" s="5" t="s">
        <v>1128</v>
      </c>
      <c r="C500" s="283" t="s">
        <v>574</v>
      </c>
      <c r="D500" s="5" t="s">
        <v>256</v>
      </c>
      <c r="E500" s="130" t="s">
        <v>103</v>
      </c>
      <c r="F500" s="119">
        <v>722307</v>
      </c>
      <c r="G500" s="119" t="s">
        <v>83</v>
      </c>
      <c r="H500" s="119" t="s">
        <v>1349</v>
      </c>
      <c r="I500" s="145">
        <v>1</v>
      </c>
      <c r="J500" s="141" t="s">
        <v>59</v>
      </c>
      <c r="K500" s="122" t="s">
        <v>105</v>
      </c>
      <c r="L500" s="40"/>
      <c r="M500" s="7"/>
      <c r="N500" s="7"/>
      <c r="O500" s="7"/>
      <c r="P500" s="7"/>
      <c r="Q500" s="7"/>
    </row>
    <row r="501" spans="2:17" ht="30">
      <c r="B501" s="5" t="s">
        <v>1129</v>
      </c>
      <c r="C501" s="207" t="s">
        <v>575</v>
      </c>
      <c r="D501" s="120" t="s">
        <v>576</v>
      </c>
      <c r="E501" s="207" t="s">
        <v>44</v>
      </c>
      <c r="F501" s="120">
        <v>512001</v>
      </c>
      <c r="G501" s="6" t="s">
        <v>81</v>
      </c>
      <c r="H501" s="155" t="s">
        <v>2264</v>
      </c>
      <c r="I501" s="135">
        <v>8</v>
      </c>
      <c r="J501" s="280" t="s">
        <v>228</v>
      </c>
      <c r="K501" s="207" t="s">
        <v>104</v>
      </c>
      <c r="M501" s="287"/>
      <c r="N501" s="10"/>
      <c r="O501" s="10"/>
      <c r="P501" s="10"/>
      <c r="Q501" s="10"/>
    </row>
    <row r="502" spans="2:17" ht="30">
      <c r="B502" s="5" t="s">
        <v>1130</v>
      </c>
      <c r="C502" s="207" t="s">
        <v>575</v>
      </c>
      <c r="D502" s="120" t="s">
        <v>576</v>
      </c>
      <c r="E502" s="283" t="s">
        <v>36</v>
      </c>
      <c r="F502" s="120">
        <v>514101</v>
      </c>
      <c r="G502" s="119" t="s">
        <v>77</v>
      </c>
      <c r="H502" s="155" t="s">
        <v>2266</v>
      </c>
      <c r="I502" s="135">
        <v>5</v>
      </c>
      <c r="J502" s="280" t="s">
        <v>228</v>
      </c>
      <c r="K502" s="207" t="s">
        <v>104</v>
      </c>
      <c r="M502" s="287"/>
      <c r="N502" s="10"/>
      <c r="O502" s="10"/>
      <c r="P502" s="10"/>
      <c r="Q502" s="10"/>
    </row>
    <row r="503" spans="2:17" ht="30">
      <c r="B503" s="5" t="s">
        <v>1131</v>
      </c>
      <c r="C503" s="207" t="s">
        <v>575</v>
      </c>
      <c r="D503" s="120" t="s">
        <v>576</v>
      </c>
      <c r="E503" s="283" t="s">
        <v>45</v>
      </c>
      <c r="F503" s="120">
        <v>522301</v>
      </c>
      <c r="G503" s="119" t="s">
        <v>43</v>
      </c>
      <c r="H503" s="155" t="s">
        <v>2268</v>
      </c>
      <c r="I503" s="135">
        <v>6</v>
      </c>
      <c r="J503" s="280" t="s">
        <v>228</v>
      </c>
      <c r="K503" s="207" t="s">
        <v>104</v>
      </c>
      <c r="M503" s="287"/>
      <c r="N503" s="10"/>
      <c r="O503" s="10"/>
      <c r="P503" s="10"/>
      <c r="Q503" s="10"/>
    </row>
    <row r="504" spans="2:17" ht="30">
      <c r="B504" s="5" t="s">
        <v>1132</v>
      </c>
      <c r="C504" s="207" t="s">
        <v>575</v>
      </c>
      <c r="D504" s="120" t="s">
        <v>576</v>
      </c>
      <c r="E504" s="283" t="s">
        <v>34</v>
      </c>
      <c r="F504" s="120">
        <v>723103</v>
      </c>
      <c r="G504" s="119" t="s">
        <v>75</v>
      </c>
      <c r="H504" s="155" t="s">
        <v>2277</v>
      </c>
      <c r="I504" s="135">
        <v>4</v>
      </c>
      <c r="J504" s="280" t="s">
        <v>228</v>
      </c>
      <c r="K504" s="207" t="s">
        <v>104</v>
      </c>
      <c r="M504" s="287"/>
      <c r="N504" s="10"/>
      <c r="O504" s="10"/>
      <c r="P504" s="10"/>
      <c r="Q504" s="10"/>
    </row>
    <row r="505" spans="2:17" customFormat="1" ht="15" customHeight="1">
      <c r="B505" s="5" t="s">
        <v>1133</v>
      </c>
      <c r="C505" s="207" t="s">
        <v>575</v>
      </c>
      <c r="D505" s="120" t="s">
        <v>576</v>
      </c>
      <c r="E505" s="130" t="s">
        <v>1435</v>
      </c>
      <c r="F505" s="120">
        <v>713201</v>
      </c>
      <c r="G505" s="119" t="s">
        <v>66</v>
      </c>
      <c r="H505" s="119" t="s">
        <v>1344</v>
      </c>
      <c r="I505" s="379">
        <v>2</v>
      </c>
      <c r="J505" s="141" t="s">
        <v>59</v>
      </c>
      <c r="K505" s="121" t="s">
        <v>105</v>
      </c>
      <c r="L505" s="2"/>
      <c r="M505" s="7"/>
      <c r="N505" s="7"/>
      <c r="O505" s="7"/>
      <c r="P505" s="7"/>
      <c r="Q505" s="7"/>
    </row>
    <row r="506" spans="2:17" customFormat="1" ht="15" customHeight="1">
      <c r="B506" s="5" t="s">
        <v>1134</v>
      </c>
      <c r="C506" s="207" t="s">
        <v>575</v>
      </c>
      <c r="D506" s="8" t="s">
        <v>576</v>
      </c>
      <c r="E506" s="130" t="s">
        <v>206</v>
      </c>
      <c r="F506" s="120">
        <v>722204</v>
      </c>
      <c r="G506" s="120" t="s">
        <v>185</v>
      </c>
      <c r="H506" s="119" t="s">
        <v>2394</v>
      </c>
      <c r="I506" s="379">
        <v>3</v>
      </c>
      <c r="J506" s="141" t="s">
        <v>59</v>
      </c>
      <c r="K506" s="122" t="s">
        <v>105</v>
      </c>
      <c r="L506" s="40"/>
      <c r="M506" s="7"/>
      <c r="N506" s="7"/>
      <c r="O506" s="7"/>
      <c r="P506" s="7"/>
      <c r="Q506" s="7"/>
    </row>
    <row r="507" spans="2:17" customFormat="1">
      <c r="B507" s="5" t="s">
        <v>1135</v>
      </c>
      <c r="C507" s="207" t="s">
        <v>575</v>
      </c>
      <c r="D507" s="8" t="s">
        <v>576</v>
      </c>
      <c r="E507" s="130" t="s">
        <v>103</v>
      </c>
      <c r="F507" s="120">
        <v>722307</v>
      </c>
      <c r="G507" s="120" t="s">
        <v>83</v>
      </c>
      <c r="H507" s="220" t="s">
        <v>2275</v>
      </c>
      <c r="I507" s="135">
        <v>14</v>
      </c>
      <c r="J507" s="141" t="s">
        <v>228</v>
      </c>
      <c r="K507" s="122" t="s">
        <v>104</v>
      </c>
      <c r="L507" s="2"/>
      <c r="M507" s="14"/>
      <c r="N507" s="7"/>
      <c r="O507" s="7"/>
      <c r="P507" s="7"/>
      <c r="Q507" s="7"/>
    </row>
    <row r="508" spans="2:17" customFormat="1" ht="15" customHeight="1">
      <c r="B508" s="5" t="s">
        <v>1139</v>
      </c>
      <c r="C508" s="207" t="s">
        <v>575</v>
      </c>
      <c r="D508" s="8" t="s">
        <v>576</v>
      </c>
      <c r="E508" s="130" t="s">
        <v>33</v>
      </c>
      <c r="F508" s="120">
        <v>752205</v>
      </c>
      <c r="G508" s="119" t="s">
        <v>69</v>
      </c>
      <c r="H508" s="119" t="s">
        <v>1343</v>
      </c>
      <c r="I508" s="380">
        <v>0</v>
      </c>
      <c r="J508" s="141" t="s">
        <v>59</v>
      </c>
      <c r="K508" s="370" t="s">
        <v>105</v>
      </c>
      <c r="L508" s="40"/>
      <c r="M508" s="7"/>
      <c r="N508" s="7"/>
      <c r="O508" s="7"/>
      <c r="P508" s="7"/>
      <c r="Q508" s="7"/>
    </row>
    <row r="509" spans="2:17" customFormat="1" ht="15" customHeight="1">
      <c r="B509" s="5" t="s">
        <v>1140</v>
      </c>
      <c r="C509" s="138" t="s">
        <v>2353</v>
      </c>
      <c r="D509" s="116" t="s">
        <v>140</v>
      </c>
      <c r="E509" s="130" t="s">
        <v>103</v>
      </c>
      <c r="F509" s="129">
        <v>722307</v>
      </c>
      <c r="G509" s="129" t="s">
        <v>83</v>
      </c>
      <c r="H509" s="119" t="s">
        <v>2415</v>
      </c>
      <c r="I509" s="191">
        <v>1</v>
      </c>
      <c r="J509" s="172" t="s">
        <v>141</v>
      </c>
      <c r="K509" s="122" t="s">
        <v>943</v>
      </c>
      <c r="L509" s="180"/>
      <c r="M509" s="117"/>
      <c r="N509" s="117"/>
      <c r="O509" s="117"/>
      <c r="P509" s="117"/>
      <c r="Q509" s="7"/>
    </row>
    <row r="510" spans="2:17" customFormat="1" ht="15" customHeight="1">
      <c r="B510" s="5" t="s">
        <v>1141</v>
      </c>
      <c r="C510" s="138" t="s">
        <v>2353</v>
      </c>
      <c r="D510" s="116" t="s">
        <v>140</v>
      </c>
      <c r="E510" s="337" t="s">
        <v>103</v>
      </c>
      <c r="F510" s="129">
        <v>722307</v>
      </c>
      <c r="G510" s="129" t="s">
        <v>83</v>
      </c>
      <c r="H510" s="119" t="s">
        <v>2415</v>
      </c>
      <c r="I510" s="191">
        <v>2</v>
      </c>
      <c r="J510" s="172" t="s">
        <v>141</v>
      </c>
      <c r="K510" s="122" t="s">
        <v>943</v>
      </c>
      <c r="L510" s="180"/>
      <c r="M510" s="117"/>
      <c r="N510" s="117"/>
      <c r="O510" s="117"/>
      <c r="P510" s="117"/>
      <c r="Q510" s="7"/>
    </row>
    <row r="511" spans="2:17" customFormat="1" ht="15" customHeight="1">
      <c r="B511" s="5" t="s">
        <v>1142</v>
      </c>
      <c r="C511" s="138" t="s">
        <v>2353</v>
      </c>
      <c r="D511" s="116" t="s">
        <v>140</v>
      </c>
      <c r="E511" s="130" t="s">
        <v>46</v>
      </c>
      <c r="F511" s="119">
        <v>741201</v>
      </c>
      <c r="G511" s="119" t="s">
        <v>182</v>
      </c>
      <c r="H511" s="129" t="s">
        <v>1349</v>
      </c>
      <c r="I511" s="191">
        <v>3</v>
      </c>
      <c r="J511" s="172" t="s">
        <v>1416</v>
      </c>
      <c r="K511" s="121" t="s">
        <v>944</v>
      </c>
      <c r="L511" s="180"/>
      <c r="M511" s="117"/>
      <c r="N511" s="117"/>
      <c r="O511" s="117"/>
      <c r="P511" s="117"/>
      <c r="Q511" s="7"/>
    </row>
    <row r="512" spans="2:17" customFormat="1" ht="15" customHeight="1">
      <c r="B512" s="5" t="s">
        <v>1143</v>
      </c>
      <c r="C512" s="138" t="s">
        <v>2353</v>
      </c>
      <c r="D512" s="116" t="s">
        <v>140</v>
      </c>
      <c r="E512" s="336" t="s">
        <v>46</v>
      </c>
      <c r="F512" s="119">
        <v>741201</v>
      </c>
      <c r="G512" s="119" t="s">
        <v>182</v>
      </c>
      <c r="H512" s="129" t="s">
        <v>1349</v>
      </c>
      <c r="I512" s="191">
        <v>1</v>
      </c>
      <c r="J512" s="172" t="s">
        <v>1416</v>
      </c>
      <c r="K512" s="121" t="s">
        <v>944</v>
      </c>
      <c r="L512" s="180"/>
      <c r="M512" s="117"/>
      <c r="N512" s="117"/>
      <c r="O512" s="117"/>
      <c r="P512" s="117"/>
      <c r="Q512" s="7"/>
    </row>
    <row r="513" spans="2:17" customFormat="1" ht="15" customHeight="1">
      <c r="B513" s="5" t="s">
        <v>1144</v>
      </c>
      <c r="C513" s="138" t="s">
        <v>2353</v>
      </c>
      <c r="D513" s="116" t="s">
        <v>140</v>
      </c>
      <c r="E513" s="130" t="s">
        <v>53</v>
      </c>
      <c r="F513" s="129">
        <v>741203</v>
      </c>
      <c r="G513" s="129" t="s">
        <v>64</v>
      </c>
      <c r="H513" s="129" t="s">
        <v>1349</v>
      </c>
      <c r="I513" s="381">
        <v>1</v>
      </c>
      <c r="J513" s="141" t="s">
        <v>59</v>
      </c>
      <c r="K513" s="122" t="s">
        <v>105</v>
      </c>
      <c r="L513" s="180"/>
      <c r="M513" s="117"/>
      <c r="N513" s="117"/>
      <c r="O513" s="117"/>
      <c r="P513" s="117"/>
      <c r="Q513" s="7"/>
    </row>
    <row r="514" spans="2:17" s="13" customFormat="1" ht="15" customHeight="1">
      <c r="B514" s="5" t="s">
        <v>1145</v>
      </c>
      <c r="C514" s="207" t="s">
        <v>1511</v>
      </c>
      <c r="D514" s="116" t="s">
        <v>140</v>
      </c>
      <c r="E514" s="130" t="s">
        <v>103</v>
      </c>
      <c r="F514" s="129">
        <v>722307</v>
      </c>
      <c r="G514" s="129" t="s">
        <v>83</v>
      </c>
      <c r="H514" s="119" t="s">
        <v>2415</v>
      </c>
      <c r="I514" s="139">
        <v>1</v>
      </c>
      <c r="J514" s="172" t="s">
        <v>141</v>
      </c>
      <c r="K514" s="138" t="s">
        <v>943</v>
      </c>
      <c r="M514" s="111"/>
      <c r="N514" s="44"/>
      <c r="O514" s="44"/>
      <c r="P514" s="44"/>
      <c r="Q514" s="12"/>
    </row>
    <row r="515" spans="2:17" customFormat="1" ht="15" customHeight="1">
      <c r="B515" s="5" t="s">
        <v>1146</v>
      </c>
      <c r="C515" s="207" t="s">
        <v>934</v>
      </c>
      <c r="D515" s="8" t="s">
        <v>935</v>
      </c>
      <c r="E515" s="283" t="s">
        <v>34</v>
      </c>
      <c r="F515" s="120">
        <v>723103</v>
      </c>
      <c r="G515" s="120" t="s">
        <v>75</v>
      </c>
      <c r="H515" s="120" t="s">
        <v>1411</v>
      </c>
      <c r="I515" s="137">
        <v>18</v>
      </c>
      <c r="J515" s="122" t="s">
        <v>936</v>
      </c>
      <c r="K515" s="122" t="s">
        <v>938</v>
      </c>
      <c r="L515" s="10"/>
      <c r="M515" s="7"/>
      <c r="N515" s="7"/>
      <c r="O515" s="7"/>
      <c r="P515" s="7"/>
      <c r="Q515" s="7"/>
    </row>
    <row r="516" spans="2:17" customFormat="1" ht="15" customHeight="1">
      <c r="B516" s="5" t="s">
        <v>1147</v>
      </c>
      <c r="C516" s="207" t="s">
        <v>934</v>
      </c>
      <c r="D516" s="8" t="s">
        <v>935</v>
      </c>
      <c r="E516" s="130" t="s">
        <v>1435</v>
      </c>
      <c r="F516" s="120">
        <v>713203</v>
      </c>
      <c r="G516" s="120" t="s">
        <v>66</v>
      </c>
      <c r="H516" s="295" t="s">
        <v>1344</v>
      </c>
      <c r="I516" s="165">
        <v>1</v>
      </c>
      <c r="J516" s="141" t="s">
        <v>59</v>
      </c>
      <c r="K516" s="122" t="s">
        <v>105</v>
      </c>
      <c r="L516" s="10"/>
      <c r="M516" s="7"/>
      <c r="N516" s="7"/>
      <c r="O516" s="7"/>
      <c r="P516" s="7"/>
      <c r="Q516" s="7"/>
    </row>
    <row r="517" spans="2:17" customFormat="1" ht="15" customHeight="1">
      <c r="B517" s="5" t="s">
        <v>1148</v>
      </c>
      <c r="C517" s="207" t="s">
        <v>934</v>
      </c>
      <c r="D517" s="8" t="s">
        <v>935</v>
      </c>
      <c r="E517" s="130" t="s">
        <v>52</v>
      </c>
      <c r="F517" s="120">
        <v>721306</v>
      </c>
      <c r="G517" s="120" t="s">
        <v>63</v>
      </c>
      <c r="H517" s="119" t="s">
        <v>2394</v>
      </c>
      <c r="I517" s="165">
        <v>3</v>
      </c>
      <c r="J517" s="141" t="s">
        <v>59</v>
      </c>
      <c r="K517" s="122" t="s">
        <v>105</v>
      </c>
      <c r="L517" s="10"/>
      <c r="M517" s="7"/>
      <c r="N517" s="7"/>
      <c r="O517" s="7"/>
      <c r="P517" s="7"/>
      <c r="Q517" s="7"/>
    </row>
    <row r="518" spans="2:17" customFormat="1" ht="15" customHeight="1">
      <c r="B518" s="5" t="s">
        <v>1149</v>
      </c>
      <c r="C518" s="207" t="s">
        <v>934</v>
      </c>
      <c r="D518" s="8" t="s">
        <v>935</v>
      </c>
      <c r="E518" s="130" t="s">
        <v>33</v>
      </c>
      <c r="F518" s="120">
        <v>752205</v>
      </c>
      <c r="G518" s="120" t="s">
        <v>69</v>
      </c>
      <c r="H518" s="295" t="s">
        <v>1343</v>
      </c>
      <c r="I518" s="165">
        <v>4</v>
      </c>
      <c r="J518" s="141" t="s">
        <v>59</v>
      </c>
      <c r="K518" s="122" t="s">
        <v>105</v>
      </c>
      <c r="L518" s="10"/>
      <c r="M518" s="7"/>
      <c r="N518" s="7"/>
      <c r="O518" s="7"/>
      <c r="P518" s="7"/>
      <c r="Q518" s="7"/>
    </row>
    <row r="519" spans="2:17" customFormat="1" ht="15" customHeight="1">
      <c r="B519" s="5" t="s">
        <v>1150</v>
      </c>
      <c r="C519" s="207" t="s">
        <v>934</v>
      </c>
      <c r="D519" s="8" t="s">
        <v>935</v>
      </c>
      <c r="E519" s="130" t="s">
        <v>57</v>
      </c>
      <c r="F519" s="120">
        <v>751204</v>
      </c>
      <c r="G519" s="120" t="s">
        <v>68</v>
      </c>
      <c r="H519" s="295" t="s">
        <v>1348</v>
      </c>
      <c r="I519" s="165">
        <v>2</v>
      </c>
      <c r="J519" s="141" t="s">
        <v>59</v>
      </c>
      <c r="K519" s="122" t="s">
        <v>105</v>
      </c>
      <c r="L519" s="10"/>
      <c r="M519" s="7"/>
      <c r="N519" s="7"/>
      <c r="O519" s="7"/>
      <c r="P519" s="7"/>
      <c r="Q519" s="7"/>
    </row>
    <row r="520" spans="2:17" customFormat="1" ht="15" customHeight="1">
      <c r="B520" s="5" t="s">
        <v>1151</v>
      </c>
      <c r="C520" s="207" t="s">
        <v>934</v>
      </c>
      <c r="D520" s="8" t="s">
        <v>935</v>
      </c>
      <c r="E520" s="283" t="s">
        <v>45</v>
      </c>
      <c r="F520" s="120">
        <v>522301</v>
      </c>
      <c r="G520" s="120" t="s">
        <v>43</v>
      </c>
      <c r="H520" s="120" t="s">
        <v>2368</v>
      </c>
      <c r="I520" s="137">
        <v>19</v>
      </c>
      <c r="J520" s="122" t="s">
        <v>936</v>
      </c>
      <c r="K520" s="122" t="s">
        <v>938</v>
      </c>
      <c r="L520" s="10"/>
      <c r="M520" s="7"/>
      <c r="N520" s="7"/>
      <c r="O520" s="7"/>
      <c r="P520" s="7"/>
      <c r="Q520" s="7"/>
    </row>
    <row r="521" spans="2:17" customFormat="1" ht="15" customHeight="1">
      <c r="B521" s="5" t="s">
        <v>1152</v>
      </c>
      <c r="C521" s="207" t="s">
        <v>934</v>
      </c>
      <c r="D521" s="8" t="s">
        <v>935</v>
      </c>
      <c r="E521" s="130" t="s">
        <v>56</v>
      </c>
      <c r="F521" s="120">
        <v>712905</v>
      </c>
      <c r="G521" s="120" t="s">
        <v>67</v>
      </c>
      <c r="H521" s="120" t="s">
        <v>1413</v>
      </c>
      <c r="I521" s="137">
        <v>4</v>
      </c>
      <c r="J521" s="122" t="s">
        <v>936</v>
      </c>
      <c r="K521" s="122" t="s">
        <v>938</v>
      </c>
      <c r="L521" s="10"/>
      <c r="M521" s="7"/>
      <c r="N521" s="7"/>
      <c r="O521" s="7"/>
      <c r="P521" s="7"/>
      <c r="Q521" s="7"/>
    </row>
    <row r="522" spans="2:17" ht="90" customHeight="1">
      <c r="B522" s="5" t="s">
        <v>1153</v>
      </c>
      <c r="C522" s="207" t="s">
        <v>1136</v>
      </c>
      <c r="D522" s="120" t="s">
        <v>252</v>
      </c>
      <c r="E522" s="207" t="s">
        <v>36</v>
      </c>
      <c r="F522" s="120">
        <v>514101</v>
      </c>
      <c r="G522" s="120" t="s">
        <v>77</v>
      </c>
      <c r="H522" s="155" t="s">
        <v>1429</v>
      </c>
      <c r="I522" s="137">
        <v>36</v>
      </c>
      <c r="J522" s="280" t="s">
        <v>116</v>
      </c>
      <c r="K522" s="207" t="s">
        <v>942</v>
      </c>
      <c r="L522" s="10"/>
      <c r="M522" s="10"/>
      <c r="N522" s="10"/>
      <c r="O522" s="10"/>
      <c r="P522" s="10"/>
      <c r="Q522" s="281"/>
    </row>
    <row r="523" spans="2:17" customFormat="1" ht="15" customHeight="1">
      <c r="B523" s="5" t="s">
        <v>1157</v>
      </c>
      <c r="C523" s="207" t="s">
        <v>1136</v>
      </c>
      <c r="D523" s="293" t="s">
        <v>252</v>
      </c>
      <c r="E523" s="122" t="s">
        <v>55</v>
      </c>
      <c r="F523" s="8">
        <v>343101</v>
      </c>
      <c r="G523" s="120" t="s">
        <v>65</v>
      </c>
      <c r="H523" s="119" t="s">
        <v>1321</v>
      </c>
      <c r="I523" s="137">
        <v>4</v>
      </c>
      <c r="J523" s="141" t="s">
        <v>547</v>
      </c>
      <c r="K523" s="121" t="s">
        <v>41</v>
      </c>
      <c r="L523" s="10"/>
      <c r="M523" s="7"/>
      <c r="N523" s="7"/>
      <c r="O523" s="7"/>
      <c r="P523" s="7"/>
      <c r="Q523" s="7"/>
    </row>
    <row r="524" spans="2:17" customFormat="1" ht="15" customHeight="1">
      <c r="B524" s="5" t="s">
        <v>1159</v>
      </c>
      <c r="C524" s="207" t="s">
        <v>1136</v>
      </c>
      <c r="D524" s="8" t="s">
        <v>252</v>
      </c>
      <c r="E524" s="130" t="s">
        <v>33</v>
      </c>
      <c r="F524" s="120">
        <v>752205</v>
      </c>
      <c r="G524" s="120" t="s">
        <v>69</v>
      </c>
      <c r="H524" s="120" t="s">
        <v>1343</v>
      </c>
      <c r="I524" s="137">
        <v>2</v>
      </c>
      <c r="J524" s="141" t="s">
        <v>61</v>
      </c>
      <c r="K524" s="121" t="s">
        <v>851</v>
      </c>
      <c r="L524" s="10"/>
      <c r="M524" s="7"/>
      <c r="N524" s="7"/>
      <c r="O524" s="7"/>
      <c r="P524" s="7"/>
      <c r="Q524" s="7"/>
    </row>
    <row r="525" spans="2:17" customFormat="1" ht="15" customHeight="1">
      <c r="B525" s="5" t="s">
        <v>1160</v>
      </c>
      <c r="C525" s="207" t="s">
        <v>1136</v>
      </c>
      <c r="D525" s="165" t="s">
        <v>252</v>
      </c>
      <c r="E525" s="283" t="s">
        <v>34</v>
      </c>
      <c r="F525" s="137">
        <v>723103</v>
      </c>
      <c r="G525" s="119" t="s">
        <v>75</v>
      </c>
      <c r="H525" s="120" t="s">
        <v>2258</v>
      </c>
      <c r="I525" s="137">
        <v>3</v>
      </c>
      <c r="J525" s="161" t="s">
        <v>566</v>
      </c>
      <c r="K525" s="122" t="s">
        <v>579</v>
      </c>
      <c r="L525" s="10"/>
      <c r="M525" s="7"/>
      <c r="N525" s="9"/>
      <c r="O525" s="9"/>
      <c r="P525" s="65"/>
      <c r="Q525" s="7"/>
    </row>
    <row r="526" spans="2:17" customFormat="1" ht="15" customHeight="1">
      <c r="B526" s="5" t="s">
        <v>1161</v>
      </c>
      <c r="C526" s="207" t="s">
        <v>1136</v>
      </c>
      <c r="D526" s="8" t="s">
        <v>252</v>
      </c>
      <c r="E526" s="130" t="s">
        <v>52</v>
      </c>
      <c r="F526" s="120">
        <v>721306</v>
      </c>
      <c r="G526" s="120" t="s">
        <v>63</v>
      </c>
      <c r="H526" s="120" t="s">
        <v>1345</v>
      </c>
      <c r="I526" s="137">
        <v>1</v>
      </c>
      <c r="J526" s="141" t="s">
        <v>61</v>
      </c>
      <c r="K526" s="121" t="s">
        <v>851</v>
      </c>
      <c r="L526" s="10"/>
      <c r="M526" s="7"/>
      <c r="N526" s="7"/>
      <c r="O526" s="7"/>
      <c r="P526" s="7"/>
      <c r="Q526" s="7"/>
    </row>
    <row r="527" spans="2:17" customFormat="1" ht="15" customHeight="1">
      <c r="B527" s="5" t="s">
        <v>1162</v>
      </c>
      <c r="C527" s="207" t="s">
        <v>1136</v>
      </c>
      <c r="D527" s="8" t="s">
        <v>252</v>
      </c>
      <c r="E527" s="130" t="s">
        <v>46</v>
      </c>
      <c r="F527" s="120">
        <v>741201</v>
      </c>
      <c r="G527" s="120" t="s">
        <v>182</v>
      </c>
      <c r="H527" s="119" t="s">
        <v>1344</v>
      </c>
      <c r="I527" s="137">
        <v>1</v>
      </c>
      <c r="J527" s="141" t="s">
        <v>61</v>
      </c>
      <c r="K527" s="121" t="s">
        <v>851</v>
      </c>
      <c r="L527" s="10"/>
      <c r="M527" s="7"/>
      <c r="N527" s="7"/>
      <c r="O527" s="7"/>
      <c r="P527" s="7"/>
      <c r="Q527" s="7"/>
    </row>
    <row r="528" spans="2:17" customFormat="1" ht="15" customHeight="1">
      <c r="B528" s="5" t="s">
        <v>1163</v>
      </c>
      <c r="C528" s="207" t="s">
        <v>1136</v>
      </c>
      <c r="D528" s="8" t="s">
        <v>252</v>
      </c>
      <c r="E528" s="122" t="s">
        <v>1137</v>
      </c>
      <c r="F528" s="120">
        <v>622201</v>
      </c>
      <c r="G528" s="120" t="s">
        <v>1154</v>
      </c>
      <c r="H528" s="120" t="s">
        <v>2259</v>
      </c>
      <c r="I528" s="137">
        <v>1</v>
      </c>
      <c r="J528" s="122" t="s">
        <v>1138</v>
      </c>
      <c r="K528" s="121" t="s">
        <v>1155</v>
      </c>
      <c r="L528" s="10"/>
      <c r="M528" s="7"/>
      <c r="N528" s="7"/>
      <c r="O528" s="7"/>
      <c r="P528" s="7"/>
      <c r="Q528" s="7"/>
    </row>
    <row r="529" spans="2:17" customFormat="1" ht="15" customHeight="1">
      <c r="B529" s="5" t="s">
        <v>1166</v>
      </c>
      <c r="C529" s="207" t="s">
        <v>1136</v>
      </c>
      <c r="D529" s="8" t="s">
        <v>252</v>
      </c>
      <c r="E529" s="130" t="s">
        <v>175</v>
      </c>
      <c r="F529" s="120">
        <v>711204</v>
      </c>
      <c r="G529" s="120" t="s">
        <v>106</v>
      </c>
      <c r="H529" s="120"/>
      <c r="I529" s="317">
        <v>0</v>
      </c>
      <c r="J529" s="141" t="s">
        <v>61</v>
      </c>
      <c r="K529" s="121" t="s">
        <v>851</v>
      </c>
      <c r="L529" s="10"/>
      <c r="M529" s="7"/>
      <c r="N529" s="7"/>
      <c r="O529" s="7"/>
      <c r="P529" s="7"/>
      <c r="Q529" s="7"/>
    </row>
    <row r="530" spans="2:17" ht="60" customHeight="1">
      <c r="B530" s="5" t="s">
        <v>1167</v>
      </c>
      <c r="C530" s="207" t="s">
        <v>1136</v>
      </c>
      <c r="D530" s="120" t="s">
        <v>252</v>
      </c>
      <c r="E530" s="283" t="s">
        <v>45</v>
      </c>
      <c r="F530" s="120">
        <v>522301</v>
      </c>
      <c r="G530" s="120" t="s">
        <v>43</v>
      </c>
      <c r="H530" s="204" t="s">
        <v>1430</v>
      </c>
      <c r="I530" s="137">
        <v>15</v>
      </c>
      <c r="J530" s="280" t="s">
        <v>116</v>
      </c>
      <c r="K530" s="207" t="s">
        <v>942</v>
      </c>
      <c r="L530" s="10"/>
      <c r="M530" s="10"/>
      <c r="N530" s="10"/>
      <c r="O530" s="10"/>
      <c r="P530" s="10"/>
      <c r="Q530" s="281"/>
    </row>
    <row r="531" spans="2:17" s="166" customFormat="1" ht="45" customHeight="1">
      <c r="B531" s="5" t="s">
        <v>1168</v>
      </c>
      <c r="C531" s="136" t="s">
        <v>1136</v>
      </c>
      <c r="D531" s="120" t="s">
        <v>252</v>
      </c>
      <c r="E531" s="207" t="s">
        <v>44</v>
      </c>
      <c r="F531" s="120">
        <v>512001</v>
      </c>
      <c r="G531" s="120" t="s">
        <v>81</v>
      </c>
      <c r="H531" s="204" t="s">
        <v>1418</v>
      </c>
      <c r="I531" s="137">
        <v>13</v>
      </c>
      <c r="J531" s="150" t="s">
        <v>116</v>
      </c>
      <c r="K531" s="136" t="s">
        <v>942</v>
      </c>
      <c r="L531" s="66"/>
      <c r="M531" s="66"/>
      <c r="N531" s="66"/>
      <c r="O531" s="66"/>
      <c r="P531" s="66"/>
      <c r="Q531" s="282"/>
    </row>
    <row r="532" spans="2:17" ht="30" customHeight="1">
      <c r="B532" s="5" t="s">
        <v>1169</v>
      </c>
      <c r="C532" s="207" t="s">
        <v>1136</v>
      </c>
      <c r="D532" s="120" t="s">
        <v>252</v>
      </c>
      <c r="E532" s="283" t="s">
        <v>37</v>
      </c>
      <c r="F532" s="120">
        <v>751201</v>
      </c>
      <c r="G532" s="120" t="s">
        <v>183</v>
      </c>
      <c r="H532" s="204" t="s">
        <v>1431</v>
      </c>
      <c r="I532" s="137">
        <v>10</v>
      </c>
      <c r="J532" s="280" t="s">
        <v>116</v>
      </c>
      <c r="K532" s="207" t="s">
        <v>942</v>
      </c>
      <c r="L532" s="10"/>
      <c r="M532" s="10"/>
      <c r="N532" s="10"/>
      <c r="O532" s="10"/>
      <c r="P532" s="10"/>
      <c r="Q532" s="281"/>
    </row>
    <row r="533" spans="2:17" customFormat="1" ht="15" customHeight="1">
      <c r="B533" s="5" t="s">
        <v>1170</v>
      </c>
      <c r="C533" s="207" t="s">
        <v>1136</v>
      </c>
      <c r="D533" s="293" t="s">
        <v>252</v>
      </c>
      <c r="E533" s="122" t="s">
        <v>226</v>
      </c>
      <c r="F533" s="120">
        <v>513101</v>
      </c>
      <c r="G533" s="120" t="s">
        <v>227</v>
      </c>
      <c r="H533" s="119" t="s">
        <v>1321</v>
      </c>
      <c r="I533" s="137">
        <v>2</v>
      </c>
      <c r="J533" s="141" t="s">
        <v>547</v>
      </c>
      <c r="K533" s="121" t="s">
        <v>41</v>
      </c>
      <c r="L533" s="10"/>
      <c r="M533" s="7"/>
      <c r="N533" s="7"/>
      <c r="O533" s="7"/>
      <c r="P533" s="7"/>
      <c r="Q533" s="7"/>
    </row>
    <row r="534" spans="2:17" ht="15" customHeight="1">
      <c r="B534" s="5" t="s">
        <v>1171</v>
      </c>
      <c r="C534" s="207" t="s">
        <v>1136</v>
      </c>
      <c r="D534" s="120" t="s">
        <v>252</v>
      </c>
      <c r="E534" s="283" t="s">
        <v>57</v>
      </c>
      <c r="F534" s="120">
        <v>751204</v>
      </c>
      <c r="G534" s="120" t="s">
        <v>68</v>
      </c>
      <c r="H534" s="158" t="s">
        <v>1340</v>
      </c>
      <c r="I534" s="137">
        <v>3</v>
      </c>
      <c r="J534" s="280" t="s">
        <v>116</v>
      </c>
      <c r="K534" s="207" t="s">
        <v>942</v>
      </c>
      <c r="L534" s="10"/>
      <c r="M534" s="10"/>
      <c r="N534" s="10"/>
      <c r="O534" s="10"/>
      <c r="P534" s="10"/>
      <c r="Q534" s="281"/>
    </row>
    <row r="535" spans="2:17" customFormat="1" ht="15" customHeight="1">
      <c r="B535" s="5" t="s">
        <v>1309</v>
      </c>
      <c r="C535" s="207" t="s">
        <v>1136</v>
      </c>
      <c r="D535" s="293" t="s">
        <v>252</v>
      </c>
      <c r="E535" s="122" t="s">
        <v>552</v>
      </c>
      <c r="F535" s="120">
        <v>432106</v>
      </c>
      <c r="G535" s="120" t="s">
        <v>281</v>
      </c>
      <c r="H535" s="119" t="s">
        <v>1321</v>
      </c>
      <c r="I535" s="137">
        <v>4</v>
      </c>
      <c r="J535" s="141" t="s">
        <v>547</v>
      </c>
      <c r="K535" s="121" t="s">
        <v>41</v>
      </c>
      <c r="L535" s="10"/>
      <c r="M535" s="7"/>
      <c r="N535" s="7"/>
      <c r="O535" s="7"/>
      <c r="P535" s="7"/>
      <c r="Q535" s="7"/>
    </row>
    <row r="536" spans="2:17" customFormat="1" ht="15" customHeight="1">
      <c r="B536" s="5" t="s">
        <v>1310</v>
      </c>
      <c r="C536" s="207" t="s">
        <v>1136</v>
      </c>
      <c r="D536" s="8" t="s">
        <v>252</v>
      </c>
      <c r="E536" s="130" t="s">
        <v>38</v>
      </c>
      <c r="F536" s="120">
        <v>741103</v>
      </c>
      <c r="G536" s="120" t="s">
        <v>54</v>
      </c>
      <c r="H536" s="120" t="s">
        <v>1343</v>
      </c>
      <c r="I536" s="137">
        <v>2</v>
      </c>
      <c r="J536" s="141" t="s">
        <v>61</v>
      </c>
      <c r="K536" s="121" t="s">
        <v>851</v>
      </c>
      <c r="L536" s="10"/>
      <c r="M536" s="7"/>
      <c r="N536" s="7"/>
      <c r="O536" s="7"/>
      <c r="P536" s="7"/>
      <c r="Q536" s="7"/>
    </row>
    <row r="537" spans="2:17" ht="30" customHeight="1">
      <c r="B537" s="5" t="s">
        <v>1311</v>
      </c>
      <c r="C537" s="207" t="s">
        <v>1158</v>
      </c>
      <c r="D537" s="120" t="s">
        <v>560</v>
      </c>
      <c r="E537" s="283" t="s">
        <v>37</v>
      </c>
      <c r="F537" s="120">
        <v>751201</v>
      </c>
      <c r="G537" s="120" t="s">
        <v>183</v>
      </c>
      <c r="H537" s="307" t="s">
        <v>1431</v>
      </c>
      <c r="I537" s="137">
        <v>13</v>
      </c>
      <c r="J537" s="280" t="s">
        <v>116</v>
      </c>
      <c r="K537" s="207" t="s">
        <v>942</v>
      </c>
      <c r="L537" s="10"/>
      <c r="M537" s="10"/>
      <c r="N537" s="10"/>
      <c r="O537" s="10"/>
      <c r="P537" s="10"/>
      <c r="Q537" s="281"/>
    </row>
    <row r="538" spans="2:17" ht="90" customHeight="1">
      <c r="B538" s="5" t="s">
        <v>1312</v>
      </c>
      <c r="C538" s="207" t="s">
        <v>1158</v>
      </c>
      <c r="D538" s="120" t="s">
        <v>560</v>
      </c>
      <c r="E538" s="207" t="s">
        <v>36</v>
      </c>
      <c r="F538" s="120">
        <v>514101</v>
      </c>
      <c r="G538" s="120" t="s">
        <v>77</v>
      </c>
      <c r="H538" s="306" t="s">
        <v>1429</v>
      </c>
      <c r="I538" s="137">
        <v>22</v>
      </c>
      <c r="J538" s="280" t="s">
        <v>116</v>
      </c>
      <c r="K538" s="207" t="s">
        <v>942</v>
      </c>
      <c r="L538" s="10"/>
      <c r="M538" s="10"/>
      <c r="N538" s="10"/>
      <c r="O538" s="10"/>
      <c r="P538" s="10"/>
      <c r="Q538" s="281"/>
    </row>
    <row r="539" spans="2:17" ht="45" customHeight="1">
      <c r="B539" s="5" t="s">
        <v>1313</v>
      </c>
      <c r="C539" s="207" t="s">
        <v>1158</v>
      </c>
      <c r="D539" s="120" t="s">
        <v>560</v>
      </c>
      <c r="E539" s="207" t="s">
        <v>44</v>
      </c>
      <c r="F539" s="120">
        <v>512001</v>
      </c>
      <c r="G539" s="120" t="s">
        <v>81</v>
      </c>
      <c r="H539" s="307" t="s">
        <v>1418</v>
      </c>
      <c r="I539" s="137">
        <v>6</v>
      </c>
      <c r="J539" s="280" t="s">
        <v>116</v>
      </c>
      <c r="K539" s="207" t="s">
        <v>942</v>
      </c>
      <c r="L539" s="10"/>
      <c r="M539" s="10"/>
      <c r="N539" s="10"/>
      <c r="O539" s="10"/>
      <c r="P539" s="10"/>
      <c r="Q539" s="281"/>
    </row>
    <row r="540" spans="2:17" ht="15" customHeight="1">
      <c r="B540" s="5" t="s">
        <v>1314</v>
      </c>
      <c r="C540" s="207" t="s">
        <v>1158</v>
      </c>
      <c r="D540" s="120" t="s">
        <v>560</v>
      </c>
      <c r="E540" s="283" t="s">
        <v>57</v>
      </c>
      <c r="F540" s="120">
        <v>751204</v>
      </c>
      <c r="G540" s="120" t="s">
        <v>68</v>
      </c>
      <c r="H540" s="310" t="s">
        <v>1340</v>
      </c>
      <c r="I540" s="137">
        <v>4</v>
      </c>
      <c r="J540" s="280" t="s">
        <v>116</v>
      </c>
      <c r="K540" s="207" t="s">
        <v>942</v>
      </c>
      <c r="L540" s="10"/>
      <c r="M540" s="10"/>
      <c r="N540" s="10"/>
      <c r="O540" s="10"/>
      <c r="P540" s="10"/>
      <c r="Q540" s="281"/>
    </row>
    <row r="541" spans="2:17" customFormat="1" ht="15" customHeight="1">
      <c r="B541" s="5" t="s">
        <v>1315</v>
      </c>
      <c r="C541" s="207" t="s">
        <v>1158</v>
      </c>
      <c r="D541" s="120" t="s">
        <v>560</v>
      </c>
      <c r="E541" s="207" t="s">
        <v>38</v>
      </c>
      <c r="F541" s="120">
        <v>741103</v>
      </c>
      <c r="G541" s="120" t="s">
        <v>54</v>
      </c>
      <c r="H541" s="307" t="s">
        <v>1349</v>
      </c>
      <c r="I541" s="137">
        <v>9</v>
      </c>
      <c r="J541" s="141" t="s">
        <v>283</v>
      </c>
      <c r="K541" s="414" t="s">
        <v>944</v>
      </c>
      <c r="L541" s="10"/>
      <c r="M541" s="10"/>
      <c r="N541" s="10"/>
      <c r="O541" s="10"/>
      <c r="P541" s="10"/>
      <c r="Q541" s="281"/>
    </row>
    <row r="542" spans="2:17" customFormat="1" ht="15" customHeight="1">
      <c r="B542" s="5" t="s">
        <v>1316</v>
      </c>
      <c r="C542" s="207" t="s">
        <v>1158</v>
      </c>
      <c r="D542" s="8" t="s">
        <v>560</v>
      </c>
      <c r="E542" s="221" t="s">
        <v>198</v>
      </c>
      <c r="F542" s="120">
        <v>712618</v>
      </c>
      <c r="G542" s="120" t="s">
        <v>86</v>
      </c>
      <c r="H542" s="158" t="s">
        <v>1349</v>
      </c>
      <c r="I542" s="165">
        <v>7</v>
      </c>
      <c r="J542" s="141" t="s">
        <v>59</v>
      </c>
      <c r="K542" s="122" t="s">
        <v>105</v>
      </c>
      <c r="L542" s="10"/>
      <c r="M542" s="7"/>
      <c r="N542" s="7"/>
      <c r="O542" s="7"/>
      <c r="P542" s="7"/>
      <c r="Q542" s="114"/>
    </row>
    <row r="543" spans="2:17" customFormat="1" ht="15" customHeight="1">
      <c r="B543" s="5" t="s">
        <v>1317</v>
      </c>
      <c r="C543" s="207" t="s">
        <v>1158</v>
      </c>
      <c r="D543" s="8" t="s">
        <v>560</v>
      </c>
      <c r="E543" s="122" t="s">
        <v>52</v>
      </c>
      <c r="F543" s="120">
        <v>721306</v>
      </c>
      <c r="G543" s="120" t="s">
        <v>63</v>
      </c>
      <c r="H543" s="158" t="s">
        <v>1345</v>
      </c>
      <c r="I543" s="137">
        <v>1</v>
      </c>
      <c r="J543" s="141" t="s">
        <v>61</v>
      </c>
      <c r="K543" s="121" t="s">
        <v>851</v>
      </c>
      <c r="L543" s="10"/>
      <c r="M543" s="7"/>
      <c r="N543" s="7"/>
      <c r="O543" s="7"/>
      <c r="P543" s="7"/>
      <c r="Q543" s="114"/>
    </row>
    <row r="544" spans="2:17" ht="60" customHeight="1">
      <c r="B544" s="5" t="s">
        <v>1318</v>
      </c>
      <c r="C544" s="207" t="s">
        <v>1158</v>
      </c>
      <c r="D544" s="120" t="s">
        <v>560</v>
      </c>
      <c r="E544" s="283" t="s">
        <v>45</v>
      </c>
      <c r="F544" s="120">
        <v>522301</v>
      </c>
      <c r="G544" s="120" t="s">
        <v>43</v>
      </c>
      <c r="H544" s="307" t="s">
        <v>1430</v>
      </c>
      <c r="I544" s="137">
        <v>22</v>
      </c>
      <c r="J544" s="280" t="s">
        <v>116</v>
      </c>
      <c r="K544" s="207" t="s">
        <v>942</v>
      </c>
      <c r="L544" s="10"/>
      <c r="M544" s="10"/>
      <c r="N544" s="10"/>
      <c r="O544" s="10"/>
      <c r="P544" s="10"/>
      <c r="Q544" s="281"/>
    </row>
    <row r="545" spans="2:17" ht="15" customHeight="1">
      <c r="B545" s="5" t="s">
        <v>1319</v>
      </c>
      <c r="C545" s="207" t="s">
        <v>1158</v>
      </c>
      <c r="D545" s="120" t="s">
        <v>560</v>
      </c>
      <c r="E545" s="221" t="s">
        <v>55</v>
      </c>
      <c r="F545" s="219">
        <v>343101</v>
      </c>
      <c r="G545" s="120" t="s">
        <v>65</v>
      </c>
      <c r="H545" s="369" t="s">
        <v>2348</v>
      </c>
      <c r="I545" s="285">
        <v>1</v>
      </c>
      <c r="J545" s="141" t="s">
        <v>547</v>
      </c>
      <c r="K545" s="415" t="s">
        <v>41</v>
      </c>
      <c r="L545" s="360"/>
      <c r="M545" s="360"/>
      <c r="N545" s="360"/>
      <c r="O545" s="360"/>
      <c r="P545" s="360"/>
      <c r="Q545" s="361"/>
    </row>
    <row r="546" spans="2:17" ht="15" customHeight="1">
      <c r="B546" s="5" t="s">
        <v>1354</v>
      </c>
      <c r="C546" s="207" t="s">
        <v>1158</v>
      </c>
      <c r="D546" s="120" t="s">
        <v>560</v>
      </c>
      <c r="E546" s="284" t="s">
        <v>1440</v>
      </c>
      <c r="F546" s="152">
        <v>712101</v>
      </c>
      <c r="G546" s="119" t="s">
        <v>184</v>
      </c>
      <c r="H546" s="307" t="s">
        <v>2395</v>
      </c>
      <c r="I546" s="285">
        <v>4</v>
      </c>
      <c r="J546" s="358" t="s">
        <v>1501</v>
      </c>
      <c r="K546" s="359" t="s">
        <v>1503</v>
      </c>
      <c r="L546" s="360"/>
      <c r="M546" s="360"/>
      <c r="N546" s="360"/>
      <c r="O546" s="360"/>
      <c r="P546" s="360"/>
      <c r="Q546" s="361"/>
    </row>
    <row r="547" spans="2:17" ht="15" customHeight="1">
      <c r="B547" s="5" t="s">
        <v>1355</v>
      </c>
      <c r="C547" s="207" t="s">
        <v>1164</v>
      </c>
      <c r="D547" s="120" t="s">
        <v>1165</v>
      </c>
      <c r="E547" s="283" t="s">
        <v>37</v>
      </c>
      <c r="F547" s="120">
        <v>751201</v>
      </c>
      <c r="G547" s="120" t="s">
        <v>183</v>
      </c>
      <c r="H547" s="158" t="s">
        <v>1340</v>
      </c>
      <c r="I547" s="137">
        <v>1</v>
      </c>
      <c r="J547" s="280" t="s">
        <v>116</v>
      </c>
      <c r="K547" s="207" t="s">
        <v>942</v>
      </c>
      <c r="L547" s="10"/>
      <c r="M547" s="10"/>
      <c r="N547" s="10"/>
      <c r="O547" s="10"/>
      <c r="P547" s="10"/>
      <c r="Q547" s="281"/>
    </row>
    <row r="548" spans="2:17" ht="90" customHeight="1">
      <c r="B548" s="5" t="s">
        <v>1356</v>
      </c>
      <c r="C548" s="207" t="s">
        <v>1164</v>
      </c>
      <c r="D548" s="120" t="s">
        <v>1165</v>
      </c>
      <c r="E548" s="207" t="s">
        <v>36</v>
      </c>
      <c r="F548" s="120">
        <v>514101</v>
      </c>
      <c r="G548" s="120" t="s">
        <v>77</v>
      </c>
      <c r="H548" s="306" t="s">
        <v>1429</v>
      </c>
      <c r="I548" s="137">
        <v>14</v>
      </c>
      <c r="J548" s="280" t="s">
        <v>116</v>
      </c>
      <c r="K548" s="207" t="s">
        <v>942</v>
      </c>
      <c r="L548" s="10"/>
      <c r="M548" s="10"/>
      <c r="N548" s="10"/>
      <c r="O548" s="10"/>
      <c r="P548" s="10"/>
      <c r="Q548" s="281"/>
    </row>
    <row r="549" spans="2:17" ht="30" customHeight="1">
      <c r="B549" s="5" t="s">
        <v>1357</v>
      </c>
      <c r="C549" s="207" t="s">
        <v>1164</v>
      </c>
      <c r="D549" s="120" t="s">
        <v>1165</v>
      </c>
      <c r="E549" s="207" t="s">
        <v>44</v>
      </c>
      <c r="F549" s="120">
        <v>512001</v>
      </c>
      <c r="G549" s="120" t="s">
        <v>81</v>
      </c>
      <c r="H549" s="204" t="s">
        <v>1431</v>
      </c>
      <c r="I549" s="137">
        <v>7</v>
      </c>
      <c r="J549" s="280" t="s">
        <v>116</v>
      </c>
      <c r="K549" s="207" t="s">
        <v>942</v>
      </c>
      <c r="L549" s="10"/>
      <c r="M549" s="10"/>
      <c r="N549" s="10"/>
      <c r="O549" s="10"/>
      <c r="P549" s="10"/>
      <c r="Q549" s="281"/>
    </row>
    <row r="550" spans="2:17" ht="15" customHeight="1">
      <c r="B550" s="5" t="s">
        <v>1358</v>
      </c>
      <c r="C550" s="207" t="s">
        <v>1164</v>
      </c>
      <c r="D550" s="120" t="s">
        <v>1165</v>
      </c>
      <c r="E550" s="283" t="s">
        <v>57</v>
      </c>
      <c r="F550" s="120">
        <v>751204</v>
      </c>
      <c r="G550" s="120" t="s">
        <v>68</v>
      </c>
      <c r="H550" s="158" t="s">
        <v>1340</v>
      </c>
      <c r="I550" s="137">
        <v>1</v>
      </c>
      <c r="J550" s="280" t="s">
        <v>116</v>
      </c>
      <c r="K550" s="207" t="s">
        <v>942</v>
      </c>
      <c r="L550" s="10"/>
      <c r="M550" s="10"/>
      <c r="N550" s="10"/>
      <c r="O550" s="10"/>
      <c r="P550" s="10"/>
      <c r="Q550" s="281"/>
    </row>
    <row r="551" spans="2:17" ht="60" customHeight="1">
      <c r="B551" s="5" t="s">
        <v>1359</v>
      </c>
      <c r="C551" s="207" t="s">
        <v>1164</v>
      </c>
      <c r="D551" s="120" t="s">
        <v>1165</v>
      </c>
      <c r="E551" s="283" t="s">
        <v>45</v>
      </c>
      <c r="F551" s="120">
        <v>522301</v>
      </c>
      <c r="G551" s="120" t="s">
        <v>43</v>
      </c>
      <c r="H551" s="307" t="s">
        <v>1430</v>
      </c>
      <c r="I551" s="137">
        <v>13</v>
      </c>
      <c r="J551" s="280" t="s">
        <v>116</v>
      </c>
      <c r="K551" s="207" t="s">
        <v>942</v>
      </c>
      <c r="L551" s="10"/>
      <c r="M551" s="10"/>
      <c r="N551" s="10"/>
      <c r="O551" s="10"/>
      <c r="P551" s="10"/>
      <c r="Q551" s="281"/>
    </row>
    <row r="552" spans="2:17" customFormat="1" ht="15" customHeight="1">
      <c r="B552" s="5" t="s">
        <v>1360</v>
      </c>
      <c r="C552" s="207" t="s">
        <v>1164</v>
      </c>
      <c r="D552" s="219" t="s">
        <v>1165</v>
      </c>
      <c r="E552" s="130" t="s">
        <v>33</v>
      </c>
      <c r="F552" s="120">
        <v>752205</v>
      </c>
      <c r="G552" s="120" t="s">
        <v>69</v>
      </c>
      <c r="H552" s="175"/>
      <c r="I552" s="176">
        <v>3</v>
      </c>
      <c r="J552" s="141" t="s">
        <v>61</v>
      </c>
      <c r="K552" s="121" t="s">
        <v>851</v>
      </c>
      <c r="L552" s="10"/>
      <c r="M552" s="7"/>
      <c r="N552" s="7"/>
      <c r="O552" s="7"/>
      <c r="P552" s="7"/>
      <c r="Q552" s="114"/>
    </row>
    <row r="553" spans="2:17" s="300" customFormat="1" ht="15" customHeight="1">
      <c r="B553" s="5" t="s">
        <v>1361</v>
      </c>
      <c r="C553" s="207" t="s">
        <v>1164</v>
      </c>
      <c r="D553" s="219" t="s">
        <v>1165</v>
      </c>
      <c r="E553" s="130" t="s">
        <v>206</v>
      </c>
      <c r="F553" s="120">
        <v>722204</v>
      </c>
      <c r="G553" s="120" t="s">
        <v>185</v>
      </c>
      <c r="H553" s="119" t="s">
        <v>1344</v>
      </c>
      <c r="I553" s="137">
        <v>3</v>
      </c>
      <c r="J553" s="141" t="s">
        <v>61</v>
      </c>
      <c r="K553" s="121" t="s">
        <v>851</v>
      </c>
      <c r="L553" s="298"/>
      <c r="M553" s="299"/>
      <c r="N553" s="299"/>
      <c r="O553" s="299"/>
      <c r="P553" s="299"/>
      <c r="Q553" s="221"/>
    </row>
    <row r="554" spans="2:17" customFormat="1" ht="15" customHeight="1">
      <c r="B554" s="5" t="s">
        <v>1362</v>
      </c>
      <c r="C554" s="207" t="s">
        <v>1164</v>
      </c>
      <c r="D554" s="294" t="s">
        <v>1165</v>
      </c>
      <c r="E554" s="130" t="s">
        <v>550</v>
      </c>
      <c r="F554" s="120">
        <v>753105</v>
      </c>
      <c r="G554" s="120" t="s">
        <v>543</v>
      </c>
      <c r="H554" s="158" t="s">
        <v>1330</v>
      </c>
      <c r="I554" s="137">
        <v>1</v>
      </c>
      <c r="J554" s="141" t="s">
        <v>547</v>
      </c>
      <c r="K554" s="121" t="s">
        <v>41</v>
      </c>
      <c r="L554" s="10"/>
      <c r="M554" s="7"/>
      <c r="N554" s="7"/>
      <c r="O554" s="7"/>
      <c r="P554" s="7"/>
      <c r="Q554" s="114"/>
    </row>
    <row r="555" spans="2:17" customFormat="1" ht="15" customHeight="1">
      <c r="B555" s="5" t="s">
        <v>1363</v>
      </c>
      <c r="C555" s="207" t="s">
        <v>1164</v>
      </c>
      <c r="D555" s="219" t="s">
        <v>1165</v>
      </c>
      <c r="E555" s="130" t="s">
        <v>38</v>
      </c>
      <c r="F555" s="120">
        <v>741103</v>
      </c>
      <c r="G555" s="120" t="s">
        <v>54</v>
      </c>
      <c r="H555" s="175"/>
      <c r="I555" s="176">
        <v>2</v>
      </c>
      <c r="J555" s="141" t="s">
        <v>61</v>
      </c>
      <c r="K555" s="121" t="s">
        <v>851</v>
      </c>
      <c r="L555" s="10"/>
      <c r="M555" s="7"/>
      <c r="N555" s="7"/>
      <c r="O555" s="7"/>
      <c r="P555" s="7"/>
      <c r="Q555" s="114"/>
    </row>
    <row r="556" spans="2:17" customFormat="1" ht="15" customHeight="1">
      <c r="B556" s="5" t="s">
        <v>1364</v>
      </c>
      <c r="C556" s="207" t="s">
        <v>1164</v>
      </c>
      <c r="D556" s="219" t="s">
        <v>1165</v>
      </c>
      <c r="E556" s="221" t="s">
        <v>198</v>
      </c>
      <c r="F556" s="120">
        <v>712616</v>
      </c>
      <c r="G556" s="120" t="s">
        <v>86</v>
      </c>
      <c r="H556" s="175"/>
      <c r="I556" s="176">
        <v>1</v>
      </c>
      <c r="J556" s="141" t="s">
        <v>61</v>
      </c>
      <c r="K556" s="121" t="s">
        <v>851</v>
      </c>
      <c r="L556" s="10"/>
      <c r="M556" s="7"/>
      <c r="N556" s="7"/>
      <c r="O556" s="7"/>
      <c r="P556" s="7"/>
      <c r="Q556" s="114"/>
    </row>
    <row r="557" spans="2:17" customFormat="1" ht="15" customHeight="1">
      <c r="B557" s="5" t="s">
        <v>1365</v>
      </c>
      <c r="C557" s="207" t="s">
        <v>1164</v>
      </c>
      <c r="D557" s="219" t="s">
        <v>1165</v>
      </c>
      <c r="E557" s="221" t="s">
        <v>198</v>
      </c>
      <c r="F557" s="120">
        <v>712616</v>
      </c>
      <c r="G557" s="120" t="s">
        <v>86</v>
      </c>
      <c r="H557" s="119" t="s">
        <v>1349</v>
      </c>
      <c r="I557" s="165">
        <v>1</v>
      </c>
      <c r="J557" s="141" t="s">
        <v>59</v>
      </c>
      <c r="K557" s="221" t="s">
        <v>105</v>
      </c>
      <c r="L557" s="10"/>
      <c r="M557" s="7"/>
      <c r="N557" s="7"/>
      <c r="O557" s="7"/>
      <c r="P557" s="7"/>
      <c r="Q557" s="114"/>
    </row>
    <row r="558" spans="2:17" customFormat="1" ht="15" customHeight="1">
      <c r="B558" s="5" t="s">
        <v>1366</v>
      </c>
      <c r="C558" s="207" t="s">
        <v>1164</v>
      </c>
      <c r="D558" s="219" t="s">
        <v>1165</v>
      </c>
      <c r="E558" s="130" t="s">
        <v>175</v>
      </c>
      <c r="F558" s="120">
        <v>711204</v>
      </c>
      <c r="G558" s="120" t="s">
        <v>106</v>
      </c>
      <c r="H558" s="175"/>
      <c r="I558" s="176">
        <v>3</v>
      </c>
      <c r="J558" s="141" t="s">
        <v>61</v>
      </c>
      <c r="K558" s="121" t="s">
        <v>851</v>
      </c>
      <c r="L558" s="10"/>
      <c r="M558" s="7"/>
      <c r="N558" s="7"/>
      <c r="O558" s="7"/>
      <c r="P558" s="7"/>
      <c r="Q558" s="114"/>
    </row>
    <row r="559" spans="2:17" customFormat="1" ht="15" customHeight="1">
      <c r="B559" s="5" t="s">
        <v>1367</v>
      </c>
      <c r="C559" s="207" t="s">
        <v>1164</v>
      </c>
      <c r="D559" s="219" t="s">
        <v>1165</v>
      </c>
      <c r="E559" s="283" t="s">
        <v>34</v>
      </c>
      <c r="F559" s="120">
        <v>723103</v>
      </c>
      <c r="G559" s="120" t="s">
        <v>75</v>
      </c>
      <c r="H559" s="175"/>
      <c r="I559" s="176">
        <v>14</v>
      </c>
      <c r="J559" s="141" t="s">
        <v>61</v>
      </c>
      <c r="K559" s="121" t="s">
        <v>851</v>
      </c>
      <c r="L559" s="10"/>
      <c r="M559" s="7"/>
      <c r="N559" s="7"/>
      <c r="O559" s="7"/>
      <c r="P559" s="7"/>
      <c r="Q559" s="114"/>
    </row>
    <row r="560" spans="2:17" customFormat="1" ht="15" customHeight="1">
      <c r="B560" s="5" t="s">
        <v>1457</v>
      </c>
      <c r="C560" s="207" t="s">
        <v>1164</v>
      </c>
      <c r="D560" s="219" t="s">
        <v>1165</v>
      </c>
      <c r="E560" s="130" t="s">
        <v>53</v>
      </c>
      <c r="F560" s="120">
        <v>741203</v>
      </c>
      <c r="G560" s="120" t="s">
        <v>64</v>
      </c>
      <c r="H560" s="175"/>
      <c r="I560" s="176">
        <v>4</v>
      </c>
      <c r="J560" s="141" t="s">
        <v>61</v>
      </c>
      <c r="K560" s="121" t="s">
        <v>851</v>
      </c>
      <c r="L560" s="10"/>
      <c r="M560" s="7"/>
      <c r="N560" s="7"/>
      <c r="O560" s="7"/>
      <c r="P560" s="7"/>
      <c r="Q560" s="114"/>
    </row>
    <row r="561" spans="2:17" customFormat="1" ht="15" customHeight="1">
      <c r="B561" s="5" t="s">
        <v>1469</v>
      </c>
      <c r="C561" s="207" t="s">
        <v>1164</v>
      </c>
      <c r="D561" s="219" t="s">
        <v>1165</v>
      </c>
      <c r="E561" s="130" t="s">
        <v>46</v>
      </c>
      <c r="F561" s="120">
        <v>741201</v>
      </c>
      <c r="G561" s="120" t="s">
        <v>182</v>
      </c>
      <c r="H561" s="119" t="s">
        <v>1344</v>
      </c>
      <c r="I561" s="176">
        <v>1</v>
      </c>
      <c r="J561" s="141" t="s">
        <v>61</v>
      </c>
      <c r="K561" s="121" t="s">
        <v>851</v>
      </c>
      <c r="L561" s="10"/>
      <c r="M561" s="7"/>
      <c r="N561" s="7"/>
      <c r="O561" s="7"/>
      <c r="P561" s="7"/>
      <c r="Q561" s="114"/>
    </row>
    <row r="562" spans="2:17" customFormat="1" ht="15" customHeight="1">
      <c r="B562" s="5" t="s">
        <v>1470</v>
      </c>
      <c r="C562" s="207" t="s">
        <v>1164</v>
      </c>
      <c r="D562" s="219" t="s">
        <v>1165</v>
      </c>
      <c r="E562" s="130" t="s">
        <v>52</v>
      </c>
      <c r="F562" s="120">
        <v>721306</v>
      </c>
      <c r="G562" s="120" t="s">
        <v>63</v>
      </c>
      <c r="H562" s="119" t="s">
        <v>2394</v>
      </c>
      <c r="I562" s="165">
        <v>2</v>
      </c>
      <c r="J562" s="141" t="s">
        <v>59</v>
      </c>
      <c r="K562" s="122" t="s">
        <v>105</v>
      </c>
      <c r="L562" s="10"/>
      <c r="M562" s="7"/>
      <c r="N562" s="7"/>
      <c r="O562" s="7"/>
      <c r="P562" s="7"/>
      <c r="Q562" s="114"/>
    </row>
    <row r="563" spans="2:17" customFormat="1" ht="15" customHeight="1">
      <c r="B563" s="5" t="s">
        <v>1471</v>
      </c>
      <c r="C563" s="207" t="s">
        <v>1164</v>
      </c>
      <c r="D563" s="219" t="s">
        <v>1165</v>
      </c>
      <c r="E563" s="130" t="s">
        <v>103</v>
      </c>
      <c r="F563" s="120">
        <v>722307</v>
      </c>
      <c r="G563" s="120" t="s">
        <v>83</v>
      </c>
      <c r="H563" s="119" t="s">
        <v>1349</v>
      </c>
      <c r="I563" s="165">
        <v>1</v>
      </c>
      <c r="J563" s="141" t="s">
        <v>59</v>
      </c>
      <c r="K563" s="221" t="s">
        <v>105</v>
      </c>
      <c r="L563" s="10"/>
      <c r="M563" s="7"/>
      <c r="N563" s="7"/>
      <c r="O563" s="7"/>
      <c r="P563" s="7"/>
      <c r="Q563" s="7"/>
    </row>
    <row r="564" spans="2:17" ht="15" customHeight="1">
      <c r="B564" s="5" t="s">
        <v>1472</v>
      </c>
      <c r="C564" s="207" t="s">
        <v>1172</v>
      </c>
      <c r="D564" s="120" t="s">
        <v>1165</v>
      </c>
      <c r="E564" s="283" t="s">
        <v>57</v>
      </c>
      <c r="F564" s="120">
        <v>751204</v>
      </c>
      <c r="G564" s="120" t="s">
        <v>68</v>
      </c>
      <c r="H564" s="158" t="s">
        <v>1340</v>
      </c>
      <c r="I564" s="137">
        <v>1</v>
      </c>
      <c r="J564" s="280" t="s">
        <v>116</v>
      </c>
      <c r="K564" s="207" t="s">
        <v>942</v>
      </c>
      <c r="L564" s="10"/>
      <c r="M564" s="10"/>
      <c r="N564" s="10"/>
      <c r="O564" s="10"/>
      <c r="P564" s="10"/>
      <c r="Q564" s="281"/>
    </row>
    <row r="565" spans="2:17" customFormat="1" ht="15" customHeight="1">
      <c r="B565" s="5" t="s">
        <v>1473</v>
      </c>
      <c r="C565" s="207" t="s">
        <v>1352</v>
      </c>
      <c r="D565" s="219" t="s">
        <v>1353</v>
      </c>
      <c r="E565" s="130" t="s">
        <v>103</v>
      </c>
      <c r="F565" s="120">
        <v>722307</v>
      </c>
      <c r="G565" s="120" t="s">
        <v>83</v>
      </c>
      <c r="H565" s="66" t="s">
        <v>1349</v>
      </c>
      <c r="I565" s="165">
        <v>4</v>
      </c>
      <c r="J565" s="122" t="s">
        <v>59</v>
      </c>
      <c r="K565" s="122" t="s">
        <v>105</v>
      </c>
      <c r="L565" s="10"/>
      <c r="M565" s="7"/>
      <c r="N565" s="7"/>
      <c r="O565" s="7"/>
      <c r="P565" s="7"/>
      <c r="Q565" s="7"/>
    </row>
    <row r="566" spans="2:17" customFormat="1" ht="15" customHeight="1">
      <c r="B566" s="5" t="s">
        <v>1474</v>
      </c>
      <c r="C566" s="207" t="s">
        <v>1352</v>
      </c>
      <c r="D566" s="219" t="s">
        <v>1353</v>
      </c>
      <c r="E566" s="130" t="s">
        <v>206</v>
      </c>
      <c r="F566" s="120">
        <v>722204</v>
      </c>
      <c r="G566" s="120" t="s">
        <v>185</v>
      </c>
      <c r="H566" s="119" t="s">
        <v>2394</v>
      </c>
      <c r="I566" s="411">
        <v>0</v>
      </c>
      <c r="J566" s="122" t="s">
        <v>59</v>
      </c>
      <c r="K566" s="221" t="s">
        <v>105</v>
      </c>
      <c r="L566" s="10"/>
      <c r="M566" s="7"/>
      <c r="N566" s="7"/>
      <c r="O566" s="7"/>
      <c r="P566" s="7"/>
      <c r="Q566" s="7"/>
    </row>
    <row r="567" spans="2:17" customFormat="1" ht="15" customHeight="1">
      <c r="B567" s="5" t="s">
        <v>2294</v>
      </c>
      <c r="C567" s="207" t="s">
        <v>1352</v>
      </c>
      <c r="D567" s="219" t="s">
        <v>1353</v>
      </c>
      <c r="E567" s="122" t="s">
        <v>52</v>
      </c>
      <c r="F567" s="120">
        <v>721306</v>
      </c>
      <c r="G567" s="120" t="s">
        <v>63</v>
      </c>
      <c r="H567" s="119" t="s">
        <v>2394</v>
      </c>
      <c r="I567" s="165">
        <v>2</v>
      </c>
      <c r="J567" s="122" t="s">
        <v>59</v>
      </c>
      <c r="K567" s="122" t="s">
        <v>105</v>
      </c>
      <c r="L567" s="10"/>
      <c r="M567" s="7"/>
      <c r="N567" s="7"/>
      <c r="O567" s="7"/>
      <c r="P567" s="7"/>
      <c r="Q567" s="7"/>
    </row>
    <row r="568" spans="2:17" customFormat="1" ht="15" customHeight="1">
      <c r="B568" s="5" t="s">
        <v>1516</v>
      </c>
      <c r="C568" s="207" t="s">
        <v>1352</v>
      </c>
      <c r="D568" s="219" t="s">
        <v>1353</v>
      </c>
      <c r="E568" s="221" t="s">
        <v>198</v>
      </c>
      <c r="F568" s="120">
        <v>712618</v>
      </c>
      <c r="G568" s="120" t="s">
        <v>86</v>
      </c>
      <c r="H568" s="66" t="s">
        <v>1349</v>
      </c>
      <c r="I568" s="165">
        <v>8</v>
      </c>
      <c r="J568" s="122" t="s">
        <v>59</v>
      </c>
      <c r="K568" s="122" t="s">
        <v>105</v>
      </c>
      <c r="L568" s="10"/>
      <c r="M568" s="7"/>
      <c r="N568" s="7"/>
      <c r="O568" s="7"/>
      <c r="P568" s="7"/>
      <c r="Q568" s="7"/>
    </row>
    <row r="569" spans="2:17" customFormat="1" ht="15" customHeight="1">
      <c r="B569" s="5" t="s">
        <v>1517</v>
      </c>
      <c r="C569" s="207" t="s">
        <v>1468</v>
      </c>
      <c r="D569" s="219" t="s">
        <v>1256</v>
      </c>
      <c r="E569" s="130" t="s">
        <v>38</v>
      </c>
      <c r="F569" s="120">
        <v>741103</v>
      </c>
      <c r="G569" s="120" t="s">
        <v>54</v>
      </c>
      <c r="H569" s="295" t="s">
        <v>1350</v>
      </c>
      <c r="I569" s="165">
        <v>1</v>
      </c>
      <c r="J569" s="221" t="s">
        <v>59</v>
      </c>
      <c r="K569" s="221" t="s">
        <v>105</v>
      </c>
      <c r="L569" s="10"/>
      <c r="M569" s="7"/>
      <c r="N569" s="7"/>
      <c r="O569" s="7"/>
      <c r="P569" s="7"/>
      <c r="Q569" s="7"/>
    </row>
    <row r="570" spans="2:17" customFormat="1" ht="15" customHeight="1">
      <c r="B570" s="5" t="s">
        <v>1518</v>
      </c>
      <c r="C570" s="207" t="s">
        <v>1468</v>
      </c>
      <c r="D570" s="219" t="s">
        <v>1256</v>
      </c>
      <c r="E570" s="221" t="s">
        <v>36</v>
      </c>
      <c r="F570" s="120">
        <v>514101</v>
      </c>
      <c r="G570" s="120" t="s">
        <v>77</v>
      </c>
      <c r="H570" s="119" t="s">
        <v>2394</v>
      </c>
      <c r="I570" s="165">
        <v>6</v>
      </c>
      <c r="J570" s="221" t="s">
        <v>59</v>
      </c>
      <c r="K570" s="221" t="s">
        <v>105</v>
      </c>
      <c r="L570" s="10"/>
      <c r="M570" s="7"/>
      <c r="N570" s="7"/>
      <c r="O570" s="7"/>
      <c r="P570" s="7"/>
      <c r="Q570" s="7"/>
    </row>
    <row r="571" spans="2:17" customFormat="1" ht="15" customHeight="1">
      <c r="B571" s="5" t="s">
        <v>1519</v>
      </c>
      <c r="C571" s="207" t="s">
        <v>1468</v>
      </c>
      <c r="D571" s="219" t="s">
        <v>1256</v>
      </c>
      <c r="E571" s="207" t="s">
        <v>44</v>
      </c>
      <c r="F571" s="120">
        <v>512001</v>
      </c>
      <c r="G571" s="120" t="s">
        <v>81</v>
      </c>
      <c r="H571" s="297" t="s">
        <v>1344</v>
      </c>
      <c r="I571" s="165">
        <v>3</v>
      </c>
      <c r="J571" s="221" t="s">
        <v>59</v>
      </c>
      <c r="K571" s="221" t="s">
        <v>105</v>
      </c>
      <c r="L571" s="10"/>
      <c r="M571" s="7"/>
      <c r="N571" s="7"/>
      <c r="O571" s="7"/>
      <c r="P571" s="7"/>
      <c r="Q571" s="7"/>
    </row>
    <row r="572" spans="2:17" customFormat="1" ht="15" customHeight="1">
      <c r="B572" s="5" t="s">
        <v>1520</v>
      </c>
      <c r="C572" s="207" t="s">
        <v>1468</v>
      </c>
      <c r="D572" s="219" t="s">
        <v>1256</v>
      </c>
      <c r="E572" s="283" t="s">
        <v>34</v>
      </c>
      <c r="F572" s="120">
        <v>723103</v>
      </c>
      <c r="G572" s="120" t="s">
        <v>75</v>
      </c>
      <c r="H572" s="295" t="s">
        <v>1345</v>
      </c>
      <c r="I572" s="165">
        <v>3</v>
      </c>
      <c r="J572" s="221" t="s">
        <v>59</v>
      </c>
      <c r="K572" s="221" t="s">
        <v>105</v>
      </c>
      <c r="L572" s="10"/>
      <c r="M572" s="7"/>
      <c r="N572" s="7"/>
      <c r="O572" s="7"/>
      <c r="P572" s="7"/>
      <c r="Q572" s="7"/>
    </row>
    <row r="573" spans="2:17" customFormat="1" ht="15" customHeight="1">
      <c r="B573" s="5" t="s">
        <v>2295</v>
      </c>
      <c r="C573" s="207" t="s">
        <v>1468</v>
      </c>
      <c r="D573" s="219" t="s">
        <v>1256</v>
      </c>
      <c r="E573" s="130" t="s">
        <v>103</v>
      </c>
      <c r="F573" s="120">
        <v>722307</v>
      </c>
      <c r="G573" s="120" t="s">
        <v>83</v>
      </c>
      <c r="H573" s="295" t="s">
        <v>1349</v>
      </c>
      <c r="I573" s="165">
        <v>6</v>
      </c>
      <c r="J573" s="221" t="s">
        <v>59</v>
      </c>
      <c r="K573" s="221" t="s">
        <v>105</v>
      </c>
      <c r="L573" s="10"/>
      <c r="M573" s="7"/>
      <c r="N573" s="7"/>
      <c r="O573" s="7"/>
      <c r="P573" s="7"/>
      <c r="Q573" s="7"/>
    </row>
    <row r="574" spans="2:17" customFormat="1" ht="15" customHeight="1">
      <c r="B574" s="5" t="s">
        <v>2296</v>
      </c>
      <c r="C574" s="207" t="s">
        <v>1468</v>
      </c>
      <c r="D574" s="219" t="s">
        <v>1256</v>
      </c>
      <c r="E574" s="283" t="s">
        <v>45</v>
      </c>
      <c r="F574" s="120">
        <v>522301</v>
      </c>
      <c r="G574" s="120" t="s">
        <v>43</v>
      </c>
      <c r="H574" s="295" t="s">
        <v>1348</v>
      </c>
      <c r="I574" s="165">
        <v>2</v>
      </c>
      <c r="J574" s="221" t="s">
        <v>59</v>
      </c>
      <c r="K574" s="221" t="s">
        <v>105</v>
      </c>
      <c r="L574" s="10"/>
      <c r="M574" s="7"/>
      <c r="N574" s="7"/>
      <c r="O574" s="7"/>
      <c r="P574" s="7"/>
      <c r="Q574" s="7"/>
    </row>
    <row r="575" spans="2:17" customFormat="1" ht="15" customHeight="1">
      <c r="B575" s="5" t="s">
        <v>2297</v>
      </c>
      <c r="C575" s="207" t="s">
        <v>1468</v>
      </c>
      <c r="D575" s="219" t="s">
        <v>1256</v>
      </c>
      <c r="E575" s="130" t="s">
        <v>206</v>
      </c>
      <c r="F575" s="120">
        <v>722204</v>
      </c>
      <c r="G575" s="120" t="s">
        <v>185</v>
      </c>
      <c r="H575" s="119" t="s">
        <v>1343</v>
      </c>
      <c r="I575" s="165">
        <v>3</v>
      </c>
      <c r="J575" s="221" t="s">
        <v>59</v>
      </c>
      <c r="K575" s="221" t="s">
        <v>105</v>
      </c>
      <c r="L575" s="10"/>
      <c r="M575" s="7"/>
      <c r="N575" s="7"/>
      <c r="O575" s="7"/>
      <c r="P575" s="7"/>
      <c r="Q575" s="7"/>
    </row>
    <row r="576" spans="2:17" customFormat="1" ht="15" customHeight="1">
      <c r="B576" s="5" t="s">
        <v>2298</v>
      </c>
      <c r="C576" s="207" t="s">
        <v>1511</v>
      </c>
      <c r="D576" s="219" t="s">
        <v>140</v>
      </c>
      <c r="E576" s="207" t="s">
        <v>44</v>
      </c>
      <c r="F576" s="46">
        <v>512001</v>
      </c>
      <c r="G576" s="46" t="s">
        <v>81</v>
      </c>
      <c r="H576" s="288" t="s">
        <v>1515</v>
      </c>
      <c r="I576" s="46">
        <v>4</v>
      </c>
      <c r="J576" s="238" t="s">
        <v>1512</v>
      </c>
      <c r="K576" s="121" t="s">
        <v>1514</v>
      </c>
      <c r="L576" s="10"/>
      <c r="M576" s="7"/>
      <c r="N576" s="7"/>
      <c r="O576" s="7"/>
      <c r="P576" s="7"/>
      <c r="Q576" s="7"/>
    </row>
    <row r="577" spans="2:17" customFormat="1" ht="15" customHeight="1">
      <c r="B577" s="5" t="s">
        <v>2299</v>
      </c>
      <c r="C577" s="207" t="s">
        <v>1511</v>
      </c>
      <c r="D577" s="219" t="s">
        <v>140</v>
      </c>
      <c r="E577" s="130" t="s">
        <v>206</v>
      </c>
      <c r="F577" s="46">
        <v>722204</v>
      </c>
      <c r="G577" s="46" t="s">
        <v>185</v>
      </c>
      <c r="H577" s="288" t="s">
        <v>1515</v>
      </c>
      <c r="I577" s="46">
        <v>2</v>
      </c>
      <c r="J577" s="238" t="s">
        <v>1512</v>
      </c>
      <c r="K577" s="121" t="s">
        <v>1514</v>
      </c>
      <c r="L577" s="10"/>
      <c r="M577" s="7"/>
      <c r="N577" s="7"/>
      <c r="O577" s="7"/>
      <c r="P577" s="7"/>
      <c r="Q577" s="7"/>
    </row>
    <row r="578" spans="2:17" customFormat="1" ht="15" customHeight="1">
      <c r="B578" s="5" t="s">
        <v>2300</v>
      </c>
      <c r="C578" s="207" t="s">
        <v>1511</v>
      </c>
      <c r="D578" s="219" t="s">
        <v>140</v>
      </c>
      <c r="E578" s="7" t="s">
        <v>57</v>
      </c>
      <c r="F578" s="46">
        <v>751204</v>
      </c>
      <c r="G578" s="46" t="s">
        <v>68</v>
      </c>
      <c r="H578" s="288" t="s">
        <v>1515</v>
      </c>
      <c r="I578" s="46">
        <v>2</v>
      </c>
      <c r="J578" s="238" t="s">
        <v>1512</v>
      </c>
      <c r="K578" s="121" t="s">
        <v>1514</v>
      </c>
      <c r="L578" s="10"/>
      <c r="M578" s="7"/>
      <c r="N578" s="7"/>
      <c r="O578" s="7"/>
      <c r="P578" s="7"/>
      <c r="Q578" s="7"/>
    </row>
    <row r="579" spans="2:17" customFormat="1" ht="15" customHeight="1">
      <c r="B579" s="5" t="s">
        <v>2301</v>
      </c>
      <c r="C579" s="207" t="s">
        <v>1511</v>
      </c>
      <c r="D579" s="219" t="s">
        <v>140</v>
      </c>
      <c r="E579" s="130" t="s">
        <v>46</v>
      </c>
      <c r="F579" s="46">
        <v>741201</v>
      </c>
      <c r="G579" s="46" t="s">
        <v>182</v>
      </c>
      <c r="H579" s="288" t="s">
        <v>1515</v>
      </c>
      <c r="I579" s="46">
        <v>1</v>
      </c>
      <c r="J579" s="238" t="s">
        <v>1512</v>
      </c>
      <c r="K579" s="121" t="s">
        <v>1514</v>
      </c>
      <c r="L579" s="10"/>
      <c r="M579" s="7"/>
      <c r="N579" s="7"/>
      <c r="O579" s="7"/>
      <c r="P579" s="7"/>
      <c r="Q579" s="7"/>
    </row>
    <row r="580" spans="2:17" customFormat="1" ht="15" customHeight="1">
      <c r="B580" s="5" t="s">
        <v>2302</v>
      </c>
      <c r="C580" s="207" t="s">
        <v>1511</v>
      </c>
      <c r="D580" s="219" t="s">
        <v>140</v>
      </c>
      <c r="E580" s="7" t="s">
        <v>37</v>
      </c>
      <c r="F580" s="46">
        <v>751201</v>
      </c>
      <c r="G580" s="46" t="s">
        <v>183</v>
      </c>
      <c r="H580" s="288" t="s">
        <v>1515</v>
      </c>
      <c r="I580" s="46">
        <v>2</v>
      </c>
      <c r="J580" s="238" t="s">
        <v>1512</v>
      </c>
      <c r="K580" s="121" t="s">
        <v>1514</v>
      </c>
      <c r="L580" s="10"/>
      <c r="M580" s="7"/>
      <c r="N580" s="7"/>
      <c r="O580" s="7"/>
      <c r="P580" s="7"/>
      <c r="Q580" s="7"/>
    </row>
    <row r="581" spans="2:17">
      <c r="B581" s="5" t="s">
        <v>2303</v>
      </c>
      <c r="C581" s="360" t="s">
        <v>2333</v>
      </c>
      <c r="D581" s="392" t="s">
        <v>51</v>
      </c>
      <c r="E581" s="321" t="s">
        <v>36</v>
      </c>
      <c r="F581" s="295">
        <v>514101</v>
      </c>
      <c r="G581" s="295" t="s">
        <v>77</v>
      </c>
      <c r="H581" s="295" t="s">
        <v>2248</v>
      </c>
      <c r="I581" s="285">
        <v>5</v>
      </c>
      <c r="J581" s="284" t="s">
        <v>117</v>
      </c>
      <c r="K581" s="284" t="s">
        <v>943</v>
      </c>
    </row>
    <row r="582" spans="2:17">
      <c r="B582" s="5" t="s">
        <v>2304</v>
      </c>
      <c r="C582" s="360" t="s">
        <v>1352</v>
      </c>
      <c r="D582" s="387" t="s">
        <v>1353</v>
      </c>
      <c r="E582" s="284" t="s">
        <v>37</v>
      </c>
      <c r="F582" s="295">
        <v>751201</v>
      </c>
      <c r="G582" s="295" t="s">
        <v>183</v>
      </c>
      <c r="H582" s="119" t="s">
        <v>2362</v>
      </c>
      <c r="I582" s="285">
        <v>9</v>
      </c>
      <c r="J582" s="284" t="s">
        <v>117</v>
      </c>
      <c r="K582" s="284" t="s">
        <v>943</v>
      </c>
    </row>
    <row r="583" spans="2:17">
      <c r="B583" s="5" t="s">
        <v>2305</v>
      </c>
      <c r="C583" s="360" t="s">
        <v>1352</v>
      </c>
      <c r="D583" s="387" t="s">
        <v>1353</v>
      </c>
      <c r="E583" s="321" t="s">
        <v>44</v>
      </c>
      <c r="F583" s="295">
        <v>512001</v>
      </c>
      <c r="G583" s="306" t="s">
        <v>81</v>
      </c>
      <c r="H583" s="295" t="s">
        <v>2248</v>
      </c>
      <c r="I583" s="285">
        <v>4</v>
      </c>
      <c r="J583" s="284" t="s">
        <v>117</v>
      </c>
      <c r="K583" s="284" t="s">
        <v>943</v>
      </c>
    </row>
    <row r="584" spans="2:17">
      <c r="B584" s="5" t="s">
        <v>2306</v>
      </c>
      <c r="C584" s="360" t="s">
        <v>1352</v>
      </c>
      <c r="D584" s="387" t="s">
        <v>1353</v>
      </c>
      <c r="E584" s="284" t="s">
        <v>1435</v>
      </c>
      <c r="F584" s="295">
        <v>713203</v>
      </c>
      <c r="G584" s="295" t="s">
        <v>66</v>
      </c>
      <c r="H584" s="295" t="s">
        <v>1409</v>
      </c>
      <c r="I584" s="285">
        <v>6</v>
      </c>
      <c r="J584" s="284" t="s">
        <v>117</v>
      </c>
      <c r="K584" s="284" t="s">
        <v>943</v>
      </c>
    </row>
    <row r="585" spans="2:17">
      <c r="B585" s="5" t="s">
        <v>2307</v>
      </c>
      <c r="C585" s="360" t="s">
        <v>1352</v>
      </c>
      <c r="D585" s="387" t="s">
        <v>1353</v>
      </c>
      <c r="E585" s="221" t="s">
        <v>198</v>
      </c>
      <c r="F585" s="295">
        <v>712618</v>
      </c>
      <c r="G585" s="295" t="s">
        <v>86</v>
      </c>
      <c r="H585" s="295" t="s">
        <v>1434</v>
      </c>
      <c r="I585" s="285">
        <v>3</v>
      </c>
      <c r="J585" s="284" t="s">
        <v>117</v>
      </c>
      <c r="K585" s="284" t="s">
        <v>943</v>
      </c>
    </row>
    <row r="586" spans="2:17">
      <c r="B586" s="5" t="s">
        <v>2308</v>
      </c>
      <c r="C586" s="389" t="s">
        <v>1352</v>
      </c>
      <c r="D586" s="387" t="s">
        <v>1353</v>
      </c>
      <c r="E586" s="284" t="s">
        <v>103</v>
      </c>
      <c r="F586" s="295">
        <v>722307</v>
      </c>
      <c r="G586" s="295" t="s">
        <v>83</v>
      </c>
      <c r="H586" s="119" t="s">
        <v>2415</v>
      </c>
      <c r="I586" s="285">
        <v>4</v>
      </c>
      <c r="J586" s="284" t="s">
        <v>141</v>
      </c>
      <c r="K586" s="284" t="s">
        <v>943</v>
      </c>
    </row>
    <row r="587" spans="2:17">
      <c r="B587" s="5" t="s">
        <v>2309</v>
      </c>
      <c r="C587" s="389" t="s">
        <v>1352</v>
      </c>
      <c r="D587" s="387" t="s">
        <v>1353</v>
      </c>
      <c r="E587" s="321" t="s">
        <v>45</v>
      </c>
      <c r="F587" s="295">
        <v>522301</v>
      </c>
      <c r="G587" s="295" t="s">
        <v>43</v>
      </c>
      <c r="H587" s="295" t="s">
        <v>2331</v>
      </c>
      <c r="I587" s="285">
        <v>11</v>
      </c>
      <c r="J587" s="284" t="s">
        <v>117</v>
      </c>
      <c r="K587" s="284" t="s">
        <v>943</v>
      </c>
    </row>
    <row r="588" spans="2:17">
      <c r="B588" s="5" t="s">
        <v>2310</v>
      </c>
      <c r="C588" s="389" t="s">
        <v>1352</v>
      </c>
      <c r="D588" s="387" t="s">
        <v>1353</v>
      </c>
      <c r="E588" s="284" t="s">
        <v>33</v>
      </c>
      <c r="F588" s="295">
        <v>752205</v>
      </c>
      <c r="G588" s="295" t="s">
        <v>69</v>
      </c>
      <c r="H588" s="119" t="s">
        <v>2415</v>
      </c>
      <c r="I588" s="285">
        <v>5</v>
      </c>
      <c r="J588" s="284" t="s">
        <v>117</v>
      </c>
      <c r="K588" s="284" t="s">
        <v>943</v>
      </c>
    </row>
    <row r="589" spans="2:17">
      <c r="B589" s="5" t="s">
        <v>2311</v>
      </c>
      <c r="C589" s="283" t="s">
        <v>210</v>
      </c>
      <c r="D589" s="387" t="s">
        <v>211</v>
      </c>
      <c r="E589" s="321" t="s">
        <v>44</v>
      </c>
      <c r="F589" s="295">
        <v>512001</v>
      </c>
      <c r="G589" s="306" t="s">
        <v>81</v>
      </c>
      <c r="H589" s="295" t="s">
        <v>2248</v>
      </c>
      <c r="I589" s="285">
        <v>1</v>
      </c>
      <c r="J589" s="284" t="s">
        <v>117</v>
      </c>
      <c r="K589" s="284" t="s">
        <v>943</v>
      </c>
    </row>
    <row r="590" spans="2:17">
      <c r="B590" s="5" t="s">
        <v>2312</v>
      </c>
      <c r="C590" s="360" t="s">
        <v>2365</v>
      </c>
      <c r="D590" s="387" t="s">
        <v>2363</v>
      </c>
      <c r="E590" s="284" t="s">
        <v>38</v>
      </c>
      <c r="F590" s="295">
        <v>741103</v>
      </c>
      <c r="G590" s="295" t="s">
        <v>54</v>
      </c>
      <c r="H590" s="295" t="s">
        <v>2331</v>
      </c>
      <c r="I590" s="285">
        <v>2</v>
      </c>
      <c r="J590" s="284" t="s">
        <v>117</v>
      </c>
      <c r="K590" s="284" t="s">
        <v>943</v>
      </c>
    </row>
    <row r="591" spans="2:17">
      <c r="B591" s="5" t="s">
        <v>2335</v>
      </c>
      <c r="C591" s="360" t="s">
        <v>2364</v>
      </c>
      <c r="D591" s="387" t="s">
        <v>2327</v>
      </c>
      <c r="E591" s="284" t="s">
        <v>38</v>
      </c>
      <c r="F591" s="295">
        <v>741103</v>
      </c>
      <c r="G591" s="295" t="s">
        <v>54</v>
      </c>
      <c r="H591" s="295" t="s">
        <v>1434</v>
      </c>
      <c r="I591" s="285">
        <v>6</v>
      </c>
      <c r="J591" s="284" t="s">
        <v>117</v>
      </c>
      <c r="K591" s="284" t="s">
        <v>943</v>
      </c>
    </row>
    <row r="592" spans="2:17">
      <c r="B592" s="5" t="s">
        <v>2336</v>
      </c>
      <c r="C592" s="284" t="s">
        <v>2374</v>
      </c>
      <c r="D592" s="391" t="s">
        <v>2194</v>
      </c>
      <c r="E592" s="395" t="s">
        <v>1494</v>
      </c>
      <c r="F592" s="387">
        <v>512001</v>
      </c>
      <c r="G592" s="387" t="s">
        <v>81</v>
      </c>
      <c r="H592" s="295" t="s">
        <v>1343</v>
      </c>
      <c r="I592" s="285">
        <v>4</v>
      </c>
      <c r="J592" s="284" t="s">
        <v>109</v>
      </c>
      <c r="K592" s="284" t="s">
        <v>237</v>
      </c>
    </row>
    <row r="593" spans="2:11">
      <c r="B593" s="5" t="s">
        <v>2351</v>
      </c>
      <c r="C593" s="284" t="s">
        <v>2374</v>
      </c>
      <c r="D593" s="391" t="s">
        <v>2194</v>
      </c>
      <c r="E593" s="284" t="s">
        <v>45</v>
      </c>
      <c r="F593" s="387">
        <v>522301</v>
      </c>
      <c r="G593" s="394" t="s">
        <v>43</v>
      </c>
      <c r="H593" s="295" t="s">
        <v>1420</v>
      </c>
      <c r="I593" s="285">
        <v>1</v>
      </c>
      <c r="J593" s="284" t="s">
        <v>109</v>
      </c>
      <c r="K593" s="284" t="s">
        <v>237</v>
      </c>
    </row>
    <row r="594" spans="2:11">
      <c r="B594" s="5" t="s">
        <v>2382</v>
      </c>
      <c r="C594" s="284" t="s">
        <v>2374</v>
      </c>
      <c r="D594" s="391" t="s">
        <v>2194</v>
      </c>
      <c r="E594" s="130" t="s">
        <v>248</v>
      </c>
      <c r="F594" s="120">
        <v>721301</v>
      </c>
      <c r="G594" s="120" t="s">
        <v>857</v>
      </c>
      <c r="H594" s="119" t="s">
        <v>1345</v>
      </c>
      <c r="I594" s="285">
        <v>2</v>
      </c>
      <c r="J594" s="141" t="s">
        <v>61</v>
      </c>
      <c r="K594" s="121" t="s">
        <v>851</v>
      </c>
    </row>
    <row r="595" spans="2:11">
      <c r="B595" s="5" t="s">
        <v>2383</v>
      </c>
      <c r="C595" s="284" t="s">
        <v>2371</v>
      </c>
      <c r="D595" s="391" t="s">
        <v>265</v>
      </c>
      <c r="E595" s="284" t="s">
        <v>44</v>
      </c>
      <c r="F595" s="295">
        <v>512001</v>
      </c>
      <c r="G595" s="306" t="s">
        <v>81</v>
      </c>
      <c r="H595" s="295" t="s">
        <v>1343</v>
      </c>
      <c r="I595" s="285">
        <v>1</v>
      </c>
      <c r="J595" s="284" t="s">
        <v>109</v>
      </c>
      <c r="K595" s="284" t="s">
        <v>237</v>
      </c>
    </row>
    <row r="596" spans="2:11">
      <c r="B596" s="5" t="s">
        <v>2384</v>
      </c>
      <c r="C596" s="284" t="s">
        <v>2371</v>
      </c>
      <c r="D596" s="391" t="s">
        <v>265</v>
      </c>
      <c r="E596" s="284" t="s">
        <v>206</v>
      </c>
      <c r="F596" s="295">
        <v>722204</v>
      </c>
      <c r="G596" s="295" t="s">
        <v>185</v>
      </c>
      <c r="H596" s="295" t="s">
        <v>1343</v>
      </c>
      <c r="I596" s="285">
        <v>8</v>
      </c>
      <c r="J596" s="284" t="s">
        <v>109</v>
      </c>
      <c r="K596" s="284" t="s">
        <v>237</v>
      </c>
    </row>
    <row r="597" spans="2:11">
      <c r="B597" s="5" t="s">
        <v>2387</v>
      </c>
      <c r="C597" s="284" t="s">
        <v>2371</v>
      </c>
      <c r="D597" s="391" t="s">
        <v>265</v>
      </c>
      <c r="E597" s="284" t="s">
        <v>33</v>
      </c>
      <c r="F597" s="387">
        <v>752205</v>
      </c>
      <c r="G597" s="387" t="s">
        <v>69</v>
      </c>
      <c r="H597" s="295" t="s">
        <v>1427</v>
      </c>
      <c r="I597" s="285">
        <v>6</v>
      </c>
      <c r="J597" s="284" t="s">
        <v>109</v>
      </c>
      <c r="K597" s="284" t="s">
        <v>237</v>
      </c>
    </row>
    <row r="598" spans="2:11" ht="30">
      <c r="B598" s="5" t="s">
        <v>2388</v>
      </c>
      <c r="C598" s="321" t="s">
        <v>2371</v>
      </c>
      <c r="D598" s="295" t="s">
        <v>265</v>
      </c>
      <c r="E598" s="321" t="s">
        <v>45</v>
      </c>
      <c r="F598" s="387">
        <v>522301</v>
      </c>
      <c r="G598" s="394" t="s">
        <v>43</v>
      </c>
      <c r="H598" s="306" t="s">
        <v>2376</v>
      </c>
      <c r="I598" s="285">
        <v>14</v>
      </c>
      <c r="J598" s="321" t="s">
        <v>109</v>
      </c>
      <c r="K598" s="321" t="s">
        <v>237</v>
      </c>
    </row>
    <row r="599" spans="2:11">
      <c r="B599" s="5" t="s">
        <v>2389</v>
      </c>
      <c r="C599" s="284" t="s">
        <v>2371</v>
      </c>
      <c r="D599" s="391" t="s">
        <v>265</v>
      </c>
      <c r="E599" s="284" t="s">
        <v>34</v>
      </c>
      <c r="F599" s="387">
        <v>723103</v>
      </c>
      <c r="G599" s="387" t="s">
        <v>75</v>
      </c>
      <c r="H599" s="295" t="s">
        <v>1421</v>
      </c>
      <c r="I599" s="285">
        <v>12</v>
      </c>
      <c r="J599" s="284" t="s">
        <v>109</v>
      </c>
      <c r="K599" s="284" t="s">
        <v>237</v>
      </c>
    </row>
    <row r="600" spans="2:11">
      <c r="B600" s="5" t="s">
        <v>2390</v>
      </c>
      <c r="C600" s="284" t="s">
        <v>2371</v>
      </c>
      <c r="D600" s="391" t="s">
        <v>265</v>
      </c>
      <c r="E600" s="360" t="s">
        <v>1435</v>
      </c>
      <c r="F600" s="295">
        <v>713203</v>
      </c>
      <c r="G600" s="295" t="s">
        <v>66</v>
      </c>
      <c r="H600" s="392"/>
      <c r="I600" s="402">
        <v>1</v>
      </c>
      <c r="J600" s="284" t="s">
        <v>61</v>
      </c>
      <c r="K600" s="403" t="s">
        <v>851</v>
      </c>
    </row>
    <row r="601" spans="2:11">
      <c r="B601" s="5" t="s">
        <v>2391</v>
      </c>
      <c r="C601" s="284" t="s">
        <v>2371</v>
      </c>
      <c r="D601" s="391" t="s">
        <v>265</v>
      </c>
      <c r="E601" s="360" t="s">
        <v>38</v>
      </c>
      <c r="F601" s="295">
        <v>741103</v>
      </c>
      <c r="G601" s="295" t="s">
        <v>54</v>
      </c>
      <c r="H601" s="392"/>
      <c r="I601" s="402">
        <v>2</v>
      </c>
      <c r="J601" s="284" t="s">
        <v>61</v>
      </c>
      <c r="K601" s="403" t="s">
        <v>851</v>
      </c>
    </row>
    <row r="602" spans="2:11">
      <c r="B602" s="5" t="s">
        <v>2401</v>
      </c>
      <c r="C602" s="284" t="s">
        <v>2371</v>
      </c>
      <c r="D602" s="391" t="s">
        <v>265</v>
      </c>
      <c r="E602" s="360" t="s">
        <v>1466</v>
      </c>
      <c r="F602" s="295">
        <v>834103</v>
      </c>
      <c r="G602" s="295" t="s">
        <v>186</v>
      </c>
      <c r="H602" s="392"/>
      <c r="I602" s="402">
        <v>1</v>
      </c>
      <c r="J602" s="284" t="s">
        <v>61</v>
      </c>
      <c r="K602" s="403" t="s">
        <v>851</v>
      </c>
    </row>
    <row r="603" spans="2:11">
      <c r="B603" s="5" t="s">
        <v>2402</v>
      </c>
      <c r="C603" s="284" t="s">
        <v>2371</v>
      </c>
      <c r="D603" s="391" t="s">
        <v>265</v>
      </c>
      <c r="E603" s="360" t="s">
        <v>36</v>
      </c>
      <c r="F603" s="295">
        <v>514101</v>
      </c>
      <c r="G603" s="295" t="s">
        <v>77</v>
      </c>
      <c r="H603" s="392"/>
      <c r="I603" s="402">
        <v>6</v>
      </c>
      <c r="J603" s="284" t="s">
        <v>61</v>
      </c>
      <c r="K603" s="403" t="s">
        <v>851</v>
      </c>
    </row>
    <row r="604" spans="2:11">
      <c r="B604" s="5" t="s">
        <v>2403</v>
      </c>
      <c r="C604" s="284" t="s">
        <v>2371</v>
      </c>
      <c r="D604" s="391" t="s">
        <v>265</v>
      </c>
      <c r="E604" s="360" t="s">
        <v>533</v>
      </c>
      <c r="F604" s="295">
        <v>723310</v>
      </c>
      <c r="G604" s="295" t="s">
        <v>282</v>
      </c>
      <c r="H604" s="392"/>
      <c r="I604" s="402">
        <v>1</v>
      </c>
      <c r="J604" s="284" t="s">
        <v>61</v>
      </c>
      <c r="K604" s="403" t="s">
        <v>851</v>
      </c>
    </row>
  </sheetData>
  <autoFilter ref="B8:R604"/>
  <mergeCells count="12">
    <mergeCell ref="K7:K8"/>
    <mergeCell ref="C3:J3"/>
    <mergeCell ref="C4:J4"/>
    <mergeCell ref="C5:J5"/>
    <mergeCell ref="J7:J8"/>
    <mergeCell ref="B7:B8"/>
    <mergeCell ref="E7:E8"/>
    <mergeCell ref="F7:F8"/>
    <mergeCell ref="G7:G8"/>
    <mergeCell ref="H7:H8"/>
    <mergeCell ref="C7:C8"/>
    <mergeCell ref="D7:D8"/>
  </mergeCells>
  <pageMargins left="1.0416666666666667E-3" right="0.7" top="1.0416666666666667E-3" bottom="0.75" header="0.3" footer="0.3"/>
  <pageSetup paperSize="8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R419"/>
  <sheetViews>
    <sheetView topLeftCell="D1" zoomScaleNormal="100" workbookViewId="0">
      <selection activeCell="G420" sqref="G420"/>
    </sheetView>
  </sheetViews>
  <sheetFormatPr defaultColWidth="8.85546875" defaultRowHeight="15"/>
  <cols>
    <col min="1" max="1" width="8.85546875" style="2"/>
    <col min="2" max="2" width="6.42578125" style="2" customWidth="1"/>
    <col min="3" max="3" width="113.140625" style="2" bestFit="1" customWidth="1"/>
    <col min="4" max="4" width="25" style="2" customWidth="1"/>
    <col min="5" max="5" width="61.28515625" style="2" bestFit="1" customWidth="1"/>
    <col min="6" max="6" width="15.140625" style="166" bestFit="1" customWidth="1"/>
    <col min="7" max="7" width="11" style="166" bestFit="1" customWidth="1"/>
    <col min="8" max="8" width="24.42578125" style="166" bestFit="1" customWidth="1"/>
    <col min="9" max="9" width="14.140625" style="2" bestFit="1" customWidth="1"/>
    <col min="10" max="10" width="114.85546875" style="2" bestFit="1" customWidth="1"/>
    <col min="11" max="11" width="26" style="2" customWidth="1"/>
    <col min="12" max="12" width="4.140625" style="2" hidden="1" customWidth="1"/>
    <col min="13" max="13" width="4.5703125" style="2" hidden="1" customWidth="1"/>
    <col min="14" max="14" width="4.7109375" style="2" hidden="1" customWidth="1"/>
    <col min="15" max="15" width="3.85546875" style="2" hidden="1" customWidth="1"/>
    <col min="16" max="16" width="5" style="2" hidden="1" customWidth="1"/>
    <col min="17" max="17" width="4.42578125" style="2" hidden="1" customWidth="1"/>
    <col min="18" max="18" width="9.140625" style="2" customWidth="1"/>
    <col min="19" max="16384" width="8.85546875" style="2"/>
  </cols>
  <sheetData>
    <row r="2" spans="2:17">
      <c r="E2" s="312">
        <f ca="1">NOW()</f>
        <v>44169.164513310185</v>
      </c>
    </row>
    <row r="3" spans="2:17" ht="18.75">
      <c r="C3" s="421" t="s">
        <v>25</v>
      </c>
      <c r="D3" s="421"/>
      <c r="E3" s="421"/>
      <c r="F3" s="421"/>
      <c r="G3" s="421"/>
      <c r="H3" s="421"/>
      <c r="I3" s="421"/>
      <c r="J3" s="421"/>
    </row>
    <row r="4" spans="2:17" ht="23.25">
      <c r="C4" s="445" t="s">
        <v>2419</v>
      </c>
      <c r="D4" s="445"/>
      <c r="E4" s="445"/>
      <c r="F4" s="445"/>
      <c r="G4" s="445"/>
      <c r="H4" s="445"/>
      <c r="I4" s="445"/>
      <c r="J4" s="445"/>
    </row>
    <row r="5" spans="2:17" ht="18.75">
      <c r="C5" s="422" t="s">
        <v>31</v>
      </c>
      <c r="D5" s="422"/>
      <c r="E5" s="422"/>
      <c r="F5" s="422"/>
      <c r="G5" s="422"/>
      <c r="H5" s="422"/>
      <c r="I5" s="422"/>
      <c r="J5" s="422"/>
    </row>
    <row r="6" spans="2:17">
      <c r="I6" s="308">
        <f>SUM(I9:I759)</f>
        <v>1265</v>
      </c>
    </row>
    <row r="7" spans="2:17" ht="30" customHeight="1">
      <c r="B7" s="425" t="s">
        <v>0</v>
      </c>
      <c r="C7" s="417" t="s">
        <v>30</v>
      </c>
      <c r="D7" s="417" t="s">
        <v>48</v>
      </c>
      <c r="E7" s="425" t="s">
        <v>1</v>
      </c>
      <c r="F7" s="426" t="s">
        <v>2</v>
      </c>
      <c r="G7" s="426" t="s">
        <v>4</v>
      </c>
      <c r="H7" s="426" t="s">
        <v>3</v>
      </c>
      <c r="I7" s="302" t="s">
        <v>27</v>
      </c>
      <c r="J7" s="433" t="s">
        <v>26</v>
      </c>
      <c r="K7" s="417" t="s">
        <v>2350</v>
      </c>
      <c r="L7" s="313"/>
      <c r="M7" s="10"/>
      <c r="N7" s="10"/>
      <c r="O7" s="10"/>
      <c r="P7" s="10"/>
    </row>
    <row r="8" spans="2:17" customFormat="1" hidden="1">
      <c r="B8" s="425"/>
      <c r="C8" s="418"/>
      <c r="D8" s="418"/>
      <c r="E8" s="425"/>
      <c r="F8" s="426"/>
      <c r="G8" s="426"/>
      <c r="H8" s="426"/>
      <c r="I8" s="4">
        <v>3</v>
      </c>
      <c r="J8" s="433"/>
      <c r="K8" s="418"/>
      <c r="L8" s="68" t="s">
        <v>580</v>
      </c>
      <c r="M8" s="41" t="s">
        <v>581</v>
      </c>
      <c r="N8" s="41" t="s">
        <v>582</v>
      </c>
      <c r="O8" s="46" t="s">
        <v>583</v>
      </c>
      <c r="P8" s="46" t="s">
        <v>588</v>
      </c>
      <c r="Q8" s="46" t="s">
        <v>1173</v>
      </c>
    </row>
    <row r="9" spans="2:17" customFormat="1" hidden="1">
      <c r="B9" s="119" t="s">
        <v>5</v>
      </c>
      <c r="C9" s="140" t="s">
        <v>32</v>
      </c>
      <c r="D9" s="119" t="s">
        <v>49</v>
      </c>
      <c r="E9" s="130" t="s">
        <v>34</v>
      </c>
      <c r="F9" s="119">
        <v>723103</v>
      </c>
      <c r="G9" s="119" t="s">
        <v>201</v>
      </c>
      <c r="H9" s="6" t="s">
        <v>1336</v>
      </c>
      <c r="I9" s="131">
        <v>6</v>
      </c>
      <c r="J9" s="7" t="s">
        <v>1485</v>
      </c>
      <c r="K9" s="122" t="s">
        <v>35</v>
      </c>
      <c r="L9" s="47"/>
      <c r="M9" s="7"/>
      <c r="N9" s="7"/>
      <c r="O9" s="43"/>
      <c r="P9" s="7"/>
      <c r="Q9" s="7"/>
    </row>
    <row r="10" spans="2:17" customFormat="1" hidden="1">
      <c r="B10" s="119" t="s">
        <v>6</v>
      </c>
      <c r="C10" s="140" t="s">
        <v>32</v>
      </c>
      <c r="D10" s="119" t="s">
        <v>49</v>
      </c>
      <c r="E10" s="130" t="s">
        <v>37</v>
      </c>
      <c r="F10" s="119">
        <v>751201</v>
      </c>
      <c r="G10" s="119" t="s">
        <v>866</v>
      </c>
      <c r="H10" s="119" t="s">
        <v>1345</v>
      </c>
      <c r="I10" s="131">
        <v>2</v>
      </c>
      <c r="J10" s="141" t="s">
        <v>229</v>
      </c>
      <c r="K10" s="122" t="s">
        <v>105</v>
      </c>
      <c r="L10" s="48"/>
      <c r="M10" s="7"/>
      <c r="N10" s="18"/>
      <c r="O10" s="7"/>
      <c r="P10" s="7"/>
      <c r="Q10" s="7"/>
    </row>
    <row r="11" spans="2:17" customFormat="1" hidden="1">
      <c r="B11" s="119" t="s">
        <v>7</v>
      </c>
      <c r="C11" s="140" t="s">
        <v>32</v>
      </c>
      <c r="D11" s="119" t="s">
        <v>49</v>
      </c>
      <c r="E11" s="130" t="s">
        <v>38</v>
      </c>
      <c r="F11" s="119">
        <v>741103</v>
      </c>
      <c r="G11" s="119" t="s">
        <v>205</v>
      </c>
      <c r="H11" s="119" t="s">
        <v>1343</v>
      </c>
      <c r="I11" s="131">
        <v>3</v>
      </c>
      <c r="J11" s="141" t="s">
        <v>229</v>
      </c>
      <c r="K11" s="122" t="s">
        <v>105</v>
      </c>
      <c r="L11" s="49"/>
      <c r="M11" s="7"/>
      <c r="N11" s="7"/>
      <c r="O11" s="7"/>
      <c r="P11" s="7"/>
      <c r="Q11" s="7"/>
    </row>
    <row r="12" spans="2:17" customFormat="1" hidden="1">
      <c r="B12" s="119" t="s">
        <v>8</v>
      </c>
      <c r="C12" s="140" t="s">
        <v>32</v>
      </c>
      <c r="D12" s="119" t="s">
        <v>49</v>
      </c>
      <c r="E12" s="130" t="s">
        <v>39</v>
      </c>
      <c r="F12" s="119">
        <v>711204</v>
      </c>
      <c r="G12" s="119" t="s">
        <v>196</v>
      </c>
      <c r="H12" s="119" t="s">
        <v>2394</v>
      </c>
      <c r="I12" s="131">
        <v>1</v>
      </c>
      <c r="J12" s="141" t="s">
        <v>229</v>
      </c>
      <c r="K12" s="122" t="s">
        <v>105</v>
      </c>
      <c r="L12" s="49"/>
      <c r="M12" s="7"/>
      <c r="N12" s="7"/>
      <c r="O12" s="7"/>
      <c r="P12" s="7"/>
      <c r="Q12" s="7"/>
    </row>
    <row r="13" spans="2:17" customFormat="1" hidden="1">
      <c r="B13" s="119" t="s">
        <v>9</v>
      </c>
      <c r="C13" s="140" t="s">
        <v>32</v>
      </c>
      <c r="D13" s="119" t="s">
        <v>49</v>
      </c>
      <c r="E13" s="130" t="s">
        <v>40</v>
      </c>
      <c r="F13" s="119">
        <v>816003</v>
      </c>
      <c r="G13" s="119" t="s">
        <v>865</v>
      </c>
      <c r="H13" s="119" t="s">
        <v>1327</v>
      </c>
      <c r="I13" s="131">
        <v>1</v>
      </c>
      <c r="J13" s="141" t="s">
        <v>195</v>
      </c>
      <c r="K13" s="122" t="s">
        <v>41</v>
      </c>
      <c r="L13" s="48"/>
      <c r="M13" s="7"/>
      <c r="N13" s="7"/>
      <c r="O13" s="7"/>
      <c r="P13" s="7"/>
      <c r="Q13" s="7"/>
    </row>
    <row r="14" spans="2:17" customFormat="1" hidden="1">
      <c r="B14" s="119" t="s">
        <v>10</v>
      </c>
      <c r="C14" s="140" t="s">
        <v>47</v>
      </c>
      <c r="D14" s="119" t="s">
        <v>51</v>
      </c>
      <c r="E14" s="130" t="s">
        <v>53</v>
      </c>
      <c r="F14" s="119">
        <v>741203</v>
      </c>
      <c r="G14" s="119" t="s">
        <v>232</v>
      </c>
      <c r="H14" s="119" t="s">
        <v>1344</v>
      </c>
      <c r="I14" s="131">
        <v>5</v>
      </c>
      <c r="J14" s="141" t="s">
        <v>229</v>
      </c>
      <c r="K14" s="122" t="s">
        <v>105</v>
      </c>
      <c r="L14" s="49"/>
      <c r="M14" s="7"/>
      <c r="N14" s="7"/>
      <c r="O14" s="7"/>
      <c r="P14" s="7"/>
      <c r="Q14" s="7"/>
    </row>
    <row r="15" spans="2:17" customFormat="1" hidden="1">
      <c r="B15" s="119" t="s">
        <v>11</v>
      </c>
      <c r="C15" s="140" t="s">
        <v>47</v>
      </c>
      <c r="D15" s="119" t="s">
        <v>51</v>
      </c>
      <c r="E15" s="130" t="s">
        <v>55</v>
      </c>
      <c r="F15" s="119">
        <v>343101</v>
      </c>
      <c r="G15" s="119" t="s">
        <v>261</v>
      </c>
      <c r="H15" s="119"/>
      <c r="I15" s="131">
        <v>1</v>
      </c>
      <c r="J15" s="141" t="s">
        <v>60</v>
      </c>
      <c r="K15" s="122" t="s">
        <v>850</v>
      </c>
      <c r="L15" s="48"/>
      <c r="M15" s="7"/>
      <c r="N15" s="7"/>
      <c r="O15" s="7"/>
      <c r="P15" s="7"/>
      <c r="Q15" s="7"/>
    </row>
    <row r="16" spans="2:17" customFormat="1" hidden="1">
      <c r="B16" s="119" t="s">
        <v>12</v>
      </c>
      <c r="C16" s="140" t="s">
        <v>47</v>
      </c>
      <c r="D16" s="119" t="s">
        <v>51</v>
      </c>
      <c r="E16" s="130" t="s">
        <v>71</v>
      </c>
      <c r="F16" s="119">
        <v>713203</v>
      </c>
      <c r="G16" s="119" t="s">
        <v>209</v>
      </c>
      <c r="H16" s="220" t="s">
        <v>1349</v>
      </c>
      <c r="I16" s="131">
        <v>6</v>
      </c>
      <c r="J16" s="141" t="s">
        <v>229</v>
      </c>
      <c r="K16" s="122" t="s">
        <v>105</v>
      </c>
      <c r="L16" s="49"/>
      <c r="M16" s="7"/>
      <c r="N16" s="7"/>
      <c r="O16" s="7"/>
      <c r="P16" s="7"/>
      <c r="Q16" s="7"/>
    </row>
    <row r="17" spans="2:17" customFormat="1">
      <c r="B17" s="119" t="s">
        <v>13</v>
      </c>
      <c r="C17" s="140" t="s">
        <v>47</v>
      </c>
      <c r="D17" s="119" t="s">
        <v>51</v>
      </c>
      <c r="E17" s="130" t="s">
        <v>56</v>
      </c>
      <c r="F17" s="119">
        <v>712905</v>
      </c>
      <c r="G17" s="119" t="s">
        <v>202</v>
      </c>
      <c r="H17" s="119" t="s">
        <v>1348</v>
      </c>
      <c r="I17" s="131">
        <v>1</v>
      </c>
      <c r="J17" s="141" t="s">
        <v>61</v>
      </c>
      <c r="K17" s="122" t="s">
        <v>851</v>
      </c>
      <c r="L17" s="48"/>
      <c r="M17" s="7"/>
      <c r="N17" s="7"/>
      <c r="O17" s="7"/>
      <c r="P17" s="7"/>
      <c r="Q17" s="7"/>
    </row>
    <row r="18" spans="2:17" customFormat="1" hidden="1">
      <c r="B18" s="119" t="s">
        <v>14</v>
      </c>
      <c r="C18" s="140" t="s">
        <v>47</v>
      </c>
      <c r="D18" s="119" t="s">
        <v>51</v>
      </c>
      <c r="E18" s="130" t="s">
        <v>57</v>
      </c>
      <c r="F18" s="119">
        <v>751204</v>
      </c>
      <c r="G18" s="119" t="s">
        <v>262</v>
      </c>
      <c r="H18" s="119" t="s">
        <v>1345</v>
      </c>
      <c r="I18" s="319">
        <v>0</v>
      </c>
      <c r="J18" s="141" t="s">
        <v>229</v>
      </c>
      <c r="K18" s="122"/>
      <c r="L18" s="49"/>
      <c r="M18" s="7"/>
      <c r="N18" s="7"/>
      <c r="O18" s="7"/>
      <c r="P18" s="7"/>
      <c r="Q18" s="7"/>
    </row>
    <row r="19" spans="2:17" customFormat="1" hidden="1">
      <c r="B19" s="119" t="s">
        <v>15</v>
      </c>
      <c r="C19" s="140" t="s">
        <v>47</v>
      </c>
      <c r="D19" s="119" t="s">
        <v>51</v>
      </c>
      <c r="E19" s="130" t="s">
        <v>33</v>
      </c>
      <c r="F19" s="119">
        <v>752205</v>
      </c>
      <c r="G19" s="119" t="s">
        <v>204</v>
      </c>
      <c r="H19" s="119" t="s">
        <v>1349</v>
      </c>
      <c r="I19" s="131">
        <v>2</v>
      </c>
      <c r="J19" s="141" t="s">
        <v>229</v>
      </c>
      <c r="K19" s="122" t="s">
        <v>105</v>
      </c>
      <c r="L19" s="49"/>
      <c r="M19" s="7"/>
      <c r="N19" s="7"/>
      <c r="O19" s="7"/>
      <c r="P19" s="7"/>
      <c r="Q19" s="7"/>
    </row>
    <row r="20" spans="2:17" customFormat="1" hidden="1">
      <c r="B20" s="119" t="s">
        <v>16</v>
      </c>
      <c r="C20" s="140" t="s">
        <v>47</v>
      </c>
      <c r="D20" s="119" t="s">
        <v>51</v>
      </c>
      <c r="E20" s="130" t="s">
        <v>58</v>
      </c>
      <c r="F20" s="119">
        <v>753106</v>
      </c>
      <c r="G20" s="119" t="s">
        <v>570</v>
      </c>
      <c r="H20" s="119"/>
      <c r="I20" s="131">
        <v>1</v>
      </c>
      <c r="J20" s="141" t="s">
        <v>62</v>
      </c>
      <c r="K20" s="122" t="s">
        <v>939</v>
      </c>
      <c r="L20" s="48"/>
      <c r="M20" s="7"/>
      <c r="N20" s="7"/>
      <c r="O20" s="7"/>
      <c r="P20" s="7"/>
      <c r="Q20" s="7"/>
    </row>
    <row r="21" spans="2:17" customFormat="1" hidden="1">
      <c r="B21" s="119" t="s">
        <v>17</v>
      </c>
      <c r="C21" s="140" t="s">
        <v>72</v>
      </c>
      <c r="D21" s="119" t="s">
        <v>73</v>
      </c>
      <c r="E21" s="130" t="s">
        <v>53</v>
      </c>
      <c r="F21" s="119">
        <v>741203</v>
      </c>
      <c r="G21" s="119" t="s">
        <v>232</v>
      </c>
      <c r="H21" s="119" t="s">
        <v>1344</v>
      </c>
      <c r="I21" s="131">
        <v>1</v>
      </c>
      <c r="J21" s="141" t="s">
        <v>229</v>
      </c>
      <c r="K21" s="122" t="s">
        <v>105</v>
      </c>
      <c r="L21" s="49"/>
      <c r="M21" s="7"/>
      <c r="N21" s="7"/>
      <c r="O21" s="7"/>
      <c r="P21" s="7"/>
      <c r="Q21" s="7"/>
    </row>
    <row r="22" spans="2:17" customFormat="1" hidden="1">
      <c r="B22" s="119" t="s">
        <v>18</v>
      </c>
      <c r="C22" s="140" t="s">
        <v>72</v>
      </c>
      <c r="D22" s="119" t="s">
        <v>73</v>
      </c>
      <c r="E22" s="130" t="s">
        <v>39</v>
      </c>
      <c r="F22" s="119">
        <v>711204</v>
      </c>
      <c r="G22" s="119" t="s">
        <v>196</v>
      </c>
      <c r="H22" s="119" t="s">
        <v>2394</v>
      </c>
      <c r="I22" s="131">
        <v>3</v>
      </c>
      <c r="J22" s="141" t="s">
        <v>229</v>
      </c>
      <c r="K22" s="122" t="s">
        <v>105</v>
      </c>
      <c r="L22" s="49"/>
      <c r="M22" s="7"/>
      <c r="N22" s="7"/>
      <c r="O22" s="7"/>
      <c r="P22" s="7"/>
      <c r="Q22" s="7"/>
    </row>
    <row r="23" spans="2:17" customFormat="1" hidden="1">
      <c r="B23" s="119" t="s">
        <v>19</v>
      </c>
      <c r="C23" s="140" t="s">
        <v>72</v>
      </c>
      <c r="D23" s="119" t="s">
        <v>73</v>
      </c>
      <c r="E23" s="130" t="s">
        <v>103</v>
      </c>
      <c r="F23" s="119">
        <v>722307</v>
      </c>
      <c r="G23" s="119" t="s">
        <v>244</v>
      </c>
      <c r="H23" s="295" t="s">
        <v>1405</v>
      </c>
      <c r="I23" s="131">
        <v>13</v>
      </c>
      <c r="J23" s="141" t="s">
        <v>228</v>
      </c>
      <c r="K23" s="122" t="s">
        <v>104</v>
      </c>
      <c r="L23" s="48"/>
      <c r="M23" s="14"/>
      <c r="N23" s="7"/>
      <c r="O23" s="7"/>
      <c r="P23" s="7"/>
      <c r="Q23" s="7"/>
    </row>
    <row r="24" spans="2:17" customFormat="1" hidden="1">
      <c r="B24" s="119" t="s">
        <v>20</v>
      </c>
      <c r="C24" s="140" t="s">
        <v>72</v>
      </c>
      <c r="D24" s="119" t="s">
        <v>73</v>
      </c>
      <c r="E24" s="130" t="s">
        <v>52</v>
      </c>
      <c r="F24" s="119">
        <v>721306</v>
      </c>
      <c r="G24" s="119" t="s">
        <v>569</v>
      </c>
      <c r="H24" s="119" t="s">
        <v>1349</v>
      </c>
      <c r="I24" s="131">
        <v>2</v>
      </c>
      <c r="J24" s="141" t="s">
        <v>229</v>
      </c>
      <c r="K24" s="122" t="s">
        <v>105</v>
      </c>
      <c r="L24" s="49"/>
      <c r="M24" s="7"/>
      <c r="N24" s="7"/>
      <c r="O24" s="7"/>
      <c r="P24" s="7"/>
      <c r="Q24" s="7"/>
    </row>
    <row r="25" spans="2:17" customFormat="1" hidden="1">
      <c r="B25" s="119" t="s">
        <v>21</v>
      </c>
      <c r="C25" s="140" t="s">
        <v>72</v>
      </c>
      <c r="D25" s="119" t="s">
        <v>73</v>
      </c>
      <c r="E25" s="130" t="s">
        <v>38</v>
      </c>
      <c r="F25" s="119">
        <v>741103</v>
      </c>
      <c r="G25" s="119" t="s">
        <v>205</v>
      </c>
      <c r="H25" s="119" t="s">
        <v>1343</v>
      </c>
      <c r="I25" s="131">
        <v>1</v>
      </c>
      <c r="J25" s="141" t="s">
        <v>229</v>
      </c>
      <c r="K25" s="122" t="s">
        <v>105</v>
      </c>
      <c r="L25" s="49"/>
      <c r="M25" s="7"/>
      <c r="N25" s="7"/>
      <c r="O25" s="7"/>
      <c r="P25" s="7"/>
      <c r="Q25" s="7"/>
    </row>
    <row r="26" spans="2:17" customFormat="1">
      <c r="B26" s="119" t="s">
        <v>22</v>
      </c>
      <c r="C26" s="140" t="s">
        <v>72</v>
      </c>
      <c r="D26" s="119" t="s">
        <v>73</v>
      </c>
      <c r="E26" s="130" t="s">
        <v>89</v>
      </c>
      <c r="F26" s="119">
        <v>741201</v>
      </c>
      <c r="G26" s="119" t="s">
        <v>90</v>
      </c>
      <c r="H26" s="119" t="s">
        <v>1348</v>
      </c>
      <c r="I26" s="131">
        <v>2</v>
      </c>
      <c r="J26" s="141" t="s">
        <v>61</v>
      </c>
      <c r="K26" s="122" t="s">
        <v>851</v>
      </c>
      <c r="L26" s="48"/>
      <c r="M26" s="7"/>
      <c r="N26" s="7"/>
      <c r="O26" s="7"/>
      <c r="P26" s="7"/>
      <c r="Q26" s="7"/>
    </row>
    <row r="27" spans="2:17" customFormat="1" hidden="1">
      <c r="B27" s="119" t="s">
        <v>23</v>
      </c>
      <c r="C27" s="130" t="s">
        <v>101</v>
      </c>
      <c r="D27" s="119" t="s">
        <v>102</v>
      </c>
      <c r="E27" s="130" t="s">
        <v>44</v>
      </c>
      <c r="F27" s="119">
        <v>512001</v>
      </c>
      <c r="G27" s="119" t="s">
        <v>203</v>
      </c>
      <c r="H27" s="295" t="s">
        <v>1343</v>
      </c>
      <c r="I27" s="131">
        <v>2</v>
      </c>
      <c r="J27" s="141" t="s">
        <v>228</v>
      </c>
      <c r="K27" s="122" t="s">
        <v>104</v>
      </c>
      <c r="L27" s="48"/>
      <c r="M27" s="14"/>
      <c r="N27" s="7"/>
      <c r="O27" s="7"/>
      <c r="P27" s="7"/>
      <c r="Q27" s="7"/>
    </row>
    <row r="28" spans="2:17" customFormat="1" hidden="1">
      <c r="B28" s="119" t="s">
        <v>24</v>
      </c>
      <c r="C28" s="130" t="s">
        <v>101</v>
      </c>
      <c r="D28" s="119" t="s">
        <v>102</v>
      </c>
      <c r="E28" s="283" t="s">
        <v>36</v>
      </c>
      <c r="F28" s="119">
        <v>514101</v>
      </c>
      <c r="G28" s="119" t="s">
        <v>197</v>
      </c>
      <c r="H28" s="295" t="s">
        <v>2260</v>
      </c>
      <c r="I28" s="131">
        <v>2</v>
      </c>
      <c r="J28" s="141" t="s">
        <v>228</v>
      </c>
      <c r="K28" s="122" t="s">
        <v>104</v>
      </c>
      <c r="L28" s="48"/>
      <c r="M28" s="14"/>
      <c r="N28" s="7"/>
      <c r="O28" s="7"/>
      <c r="P28" s="7"/>
      <c r="Q28" s="7"/>
    </row>
    <row r="29" spans="2:17" customFormat="1" hidden="1">
      <c r="B29" s="119" t="s">
        <v>92</v>
      </c>
      <c r="C29" s="130" t="s">
        <v>101</v>
      </c>
      <c r="D29" s="119" t="s">
        <v>102</v>
      </c>
      <c r="E29" s="130" t="s">
        <v>103</v>
      </c>
      <c r="F29" s="119">
        <v>722307</v>
      </c>
      <c r="G29" s="119" t="s">
        <v>244</v>
      </c>
      <c r="H29" s="295" t="s">
        <v>1405</v>
      </c>
      <c r="I29" s="131">
        <v>1</v>
      </c>
      <c r="J29" s="141" t="s">
        <v>228</v>
      </c>
      <c r="K29" s="122" t="s">
        <v>104</v>
      </c>
      <c r="L29" s="48"/>
      <c r="M29" s="14"/>
      <c r="N29" s="7"/>
      <c r="O29" s="7"/>
      <c r="P29" s="7"/>
      <c r="Q29" s="7"/>
    </row>
    <row r="30" spans="2:17" customFormat="1" hidden="1">
      <c r="B30" s="119" t="s">
        <v>93</v>
      </c>
      <c r="C30" s="130" t="s">
        <v>101</v>
      </c>
      <c r="D30" s="119" t="s">
        <v>102</v>
      </c>
      <c r="E30" s="130" t="s">
        <v>33</v>
      </c>
      <c r="F30" s="119">
        <v>752205</v>
      </c>
      <c r="G30" s="119" t="s">
        <v>204</v>
      </c>
      <c r="H30" s="119" t="s">
        <v>1349</v>
      </c>
      <c r="I30" s="131">
        <v>1</v>
      </c>
      <c r="J30" s="141" t="s">
        <v>229</v>
      </c>
      <c r="K30" s="122" t="s">
        <v>105</v>
      </c>
      <c r="L30" s="49"/>
      <c r="M30" s="7"/>
      <c r="N30" s="7"/>
      <c r="O30" s="7"/>
      <c r="P30" s="7"/>
      <c r="Q30" s="7"/>
    </row>
    <row r="31" spans="2:17" customFormat="1" hidden="1">
      <c r="B31" s="119" t="s">
        <v>94</v>
      </c>
      <c r="C31" s="130" t="s">
        <v>101</v>
      </c>
      <c r="D31" s="119" t="s">
        <v>102</v>
      </c>
      <c r="E31" s="130" t="s">
        <v>39</v>
      </c>
      <c r="F31" s="119">
        <v>711204</v>
      </c>
      <c r="G31" s="119" t="s">
        <v>196</v>
      </c>
      <c r="H31" s="119" t="s">
        <v>2394</v>
      </c>
      <c r="I31" s="131">
        <v>1</v>
      </c>
      <c r="J31" s="141" t="s">
        <v>229</v>
      </c>
      <c r="K31" s="122" t="s">
        <v>105</v>
      </c>
      <c r="L31" s="49"/>
      <c r="M31" s="7"/>
      <c r="N31" s="7"/>
      <c r="O31" s="7"/>
      <c r="P31" s="7"/>
      <c r="Q31" s="7"/>
    </row>
    <row r="32" spans="2:17" customFormat="1" hidden="1">
      <c r="B32" s="119" t="s">
        <v>95</v>
      </c>
      <c r="C32" s="130" t="s">
        <v>101</v>
      </c>
      <c r="D32" s="119" t="s">
        <v>102</v>
      </c>
      <c r="E32" s="130" t="s">
        <v>88</v>
      </c>
      <c r="F32" s="119">
        <v>751204</v>
      </c>
      <c r="G32" s="119" t="s">
        <v>262</v>
      </c>
      <c r="H32" s="119"/>
      <c r="I32" s="319">
        <v>0</v>
      </c>
      <c r="J32" s="141" t="s">
        <v>229</v>
      </c>
      <c r="K32" s="221"/>
      <c r="L32" s="49"/>
      <c r="M32" s="7"/>
      <c r="N32" s="7"/>
      <c r="O32" s="7"/>
      <c r="P32" s="7"/>
      <c r="Q32" s="7"/>
    </row>
    <row r="33" spans="2:17" customFormat="1" hidden="1">
      <c r="B33" s="119" t="s">
        <v>96</v>
      </c>
      <c r="C33" s="130" t="s">
        <v>101</v>
      </c>
      <c r="D33" s="119" t="s">
        <v>102</v>
      </c>
      <c r="E33" s="130" t="s">
        <v>53</v>
      </c>
      <c r="F33" s="119">
        <v>741203</v>
      </c>
      <c r="G33" s="119" t="s">
        <v>232</v>
      </c>
      <c r="H33" s="119" t="s">
        <v>1344</v>
      </c>
      <c r="I33" s="131">
        <v>1</v>
      </c>
      <c r="J33" s="141" t="s">
        <v>229</v>
      </c>
      <c r="K33" s="122" t="s">
        <v>105</v>
      </c>
      <c r="L33" s="49"/>
      <c r="M33" s="7"/>
      <c r="N33" s="7"/>
      <c r="O33" s="7"/>
      <c r="P33" s="7"/>
      <c r="Q33" s="7"/>
    </row>
    <row r="34" spans="2:17" customFormat="1" hidden="1">
      <c r="B34" s="119" t="s">
        <v>97</v>
      </c>
      <c r="C34" s="130" t="s">
        <v>107</v>
      </c>
      <c r="D34" s="119" t="s">
        <v>108</v>
      </c>
      <c r="E34" s="283" t="s">
        <v>45</v>
      </c>
      <c r="F34" s="119">
        <v>522301</v>
      </c>
      <c r="G34" s="119" t="s">
        <v>200</v>
      </c>
      <c r="H34" s="295" t="s">
        <v>1413</v>
      </c>
      <c r="I34" s="131">
        <v>2</v>
      </c>
      <c r="J34" s="141" t="s">
        <v>109</v>
      </c>
      <c r="K34" s="122" t="s">
        <v>237</v>
      </c>
      <c r="L34" s="48"/>
      <c r="M34" s="7"/>
      <c r="N34" s="7"/>
      <c r="O34" s="7"/>
      <c r="P34" s="7"/>
      <c r="Q34" s="7"/>
    </row>
    <row r="35" spans="2:17" customFormat="1" hidden="1">
      <c r="B35" s="119" t="s">
        <v>98</v>
      </c>
      <c r="C35" s="130" t="s">
        <v>107</v>
      </c>
      <c r="D35" s="119" t="s">
        <v>108</v>
      </c>
      <c r="E35" s="130" t="s">
        <v>44</v>
      </c>
      <c r="F35" s="119">
        <v>512001</v>
      </c>
      <c r="G35" s="119" t="s">
        <v>203</v>
      </c>
      <c r="H35" s="295" t="s">
        <v>1413</v>
      </c>
      <c r="I35" s="131">
        <v>1</v>
      </c>
      <c r="J35" s="141" t="s">
        <v>109</v>
      </c>
      <c r="K35" s="122" t="s">
        <v>237</v>
      </c>
      <c r="L35" s="48"/>
      <c r="M35" s="7"/>
      <c r="N35" s="7"/>
      <c r="O35" s="7"/>
      <c r="P35" s="7"/>
      <c r="Q35" s="7"/>
    </row>
    <row r="36" spans="2:17" ht="30" hidden="1">
      <c r="B36" s="119" t="s">
        <v>99</v>
      </c>
      <c r="C36" s="283" t="s">
        <v>110</v>
      </c>
      <c r="D36" s="119" t="s">
        <v>111</v>
      </c>
      <c r="E36" s="283" t="s">
        <v>45</v>
      </c>
      <c r="F36" s="142">
        <v>522301</v>
      </c>
      <c r="G36" s="119" t="s">
        <v>200</v>
      </c>
      <c r="H36" s="204" t="s">
        <v>2343</v>
      </c>
      <c r="I36" s="131">
        <v>5</v>
      </c>
      <c r="J36" s="280" t="s">
        <v>116</v>
      </c>
      <c r="K36" s="207" t="s">
        <v>942</v>
      </c>
      <c r="L36" s="303"/>
      <c r="M36" s="10"/>
      <c r="N36" s="10"/>
      <c r="O36" s="10"/>
      <c r="P36" s="10"/>
      <c r="Q36" s="281"/>
    </row>
    <row r="37" spans="2:17" hidden="1">
      <c r="B37" s="119" t="s">
        <v>100</v>
      </c>
      <c r="C37" s="283" t="s">
        <v>110</v>
      </c>
      <c r="D37" s="119" t="s">
        <v>111</v>
      </c>
      <c r="E37" s="130" t="s">
        <v>44</v>
      </c>
      <c r="F37" s="119">
        <v>512001</v>
      </c>
      <c r="G37" s="119" t="s">
        <v>203</v>
      </c>
      <c r="H37" s="307" t="s">
        <v>2344</v>
      </c>
      <c r="I37" s="131">
        <v>2</v>
      </c>
      <c r="J37" s="280" t="s">
        <v>116</v>
      </c>
      <c r="K37" s="207" t="s">
        <v>942</v>
      </c>
      <c r="L37" s="303"/>
      <c r="M37" s="10"/>
      <c r="N37" s="10"/>
      <c r="O37" s="10"/>
      <c r="P37" s="10"/>
      <c r="Q37" s="281"/>
    </row>
    <row r="38" spans="2:17" hidden="1">
      <c r="B38" s="119" t="s">
        <v>118</v>
      </c>
      <c r="C38" s="283" t="s">
        <v>110</v>
      </c>
      <c r="D38" s="119" t="s">
        <v>111</v>
      </c>
      <c r="E38" s="16" t="s">
        <v>113</v>
      </c>
      <c r="F38" s="119">
        <v>751201</v>
      </c>
      <c r="G38" s="119" t="s">
        <v>866</v>
      </c>
      <c r="H38" s="158" t="s">
        <v>1421</v>
      </c>
      <c r="I38" s="131">
        <v>1</v>
      </c>
      <c r="J38" s="280" t="s">
        <v>116</v>
      </c>
      <c r="K38" s="207" t="s">
        <v>942</v>
      </c>
      <c r="L38" s="303"/>
      <c r="M38" s="10"/>
      <c r="N38" s="10"/>
      <c r="O38" s="10"/>
      <c r="P38" s="10"/>
      <c r="Q38" s="281"/>
    </row>
    <row r="39" spans="2:17" customFormat="1" hidden="1">
      <c r="B39" s="119" t="s">
        <v>119</v>
      </c>
      <c r="C39" s="130" t="s">
        <v>110</v>
      </c>
      <c r="D39" s="119" t="s">
        <v>111</v>
      </c>
      <c r="E39" s="130" t="s">
        <v>33</v>
      </c>
      <c r="F39" s="119">
        <v>752205</v>
      </c>
      <c r="G39" s="119" t="s">
        <v>204</v>
      </c>
      <c r="H39" s="119" t="s">
        <v>1349</v>
      </c>
      <c r="I39" s="131">
        <v>1</v>
      </c>
      <c r="J39" s="141" t="s">
        <v>229</v>
      </c>
      <c r="K39" s="122" t="s">
        <v>105</v>
      </c>
      <c r="L39" s="49"/>
      <c r="M39" s="7"/>
      <c r="N39" s="7"/>
      <c r="O39" s="7"/>
      <c r="P39" s="7"/>
      <c r="Q39" s="7"/>
    </row>
    <row r="40" spans="2:17" customFormat="1" hidden="1">
      <c r="B40" s="119" t="s">
        <v>120</v>
      </c>
      <c r="C40" s="122" t="s">
        <v>1351</v>
      </c>
      <c r="D40" s="120" t="s">
        <v>111</v>
      </c>
      <c r="E40" s="122" t="s">
        <v>206</v>
      </c>
      <c r="F40" s="120">
        <v>722204</v>
      </c>
      <c r="G40" s="120" t="s">
        <v>207</v>
      </c>
      <c r="H40" s="120"/>
      <c r="I40" s="317">
        <v>0</v>
      </c>
      <c r="J40" s="141" t="s">
        <v>229</v>
      </c>
      <c r="K40" s="221"/>
      <c r="L40" s="49"/>
      <c r="M40" s="7"/>
      <c r="N40" s="7"/>
      <c r="O40" s="7"/>
      <c r="P40" s="7"/>
      <c r="Q40" s="7"/>
    </row>
    <row r="41" spans="2:17" customFormat="1">
      <c r="B41" s="119" t="s">
        <v>121</v>
      </c>
      <c r="C41" s="130" t="s">
        <v>2352</v>
      </c>
      <c r="D41" s="119" t="s">
        <v>137</v>
      </c>
      <c r="E41" s="283" t="s">
        <v>36</v>
      </c>
      <c r="F41" s="8">
        <v>514101</v>
      </c>
      <c r="G41" s="119" t="s">
        <v>197</v>
      </c>
      <c r="H41" s="119" t="s">
        <v>2394</v>
      </c>
      <c r="I41" s="131">
        <v>4</v>
      </c>
      <c r="J41" s="141" t="s">
        <v>61</v>
      </c>
      <c r="K41" s="122" t="s">
        <v>851</v>
      </c>
      <c r="L41" s="48"/>
      <c r="M41" s="7"/>
      <c r="N41" s="7"/>
      <c r="O41" s="7"/>
      <c r="P41" s="7"/>
      <c r="Q41" s="7"/>
    </row>
    <row r="42" spans="2:17" customFormat="1">
      <c r="B42" s="119" t="s">
        <v>122</v>
      </c>
      <c r="C42" s="130" t="s">
        <v>2352</v>
      </c>
      <c r="D42" s="119" t="s">
        <v>137</v>
      </c>
      <c r="E42" s="130" t="s">
        <v>44</v>
      </c>
      <c r="F42" s="119">
        <v>512001</v>
      </c>
      <c r="G42" s="119" t="s">
        <v>203</v>
      </c>
      <c r="H42" s="119"/>
      <c r="I42" s="131">
        <v>1</v>
      </c>
      <c r="J42" s="141" t="s">
        <v>61</v>
      </c>
      <c r="K42" s="122" t="s">
        <v>851</v>
      </c>
      <c r="L42" s="48"/>
      <c r="M42" s="7"/>
      <c r="N42" s="7"/>
      <c r="O42" s="7"/>
      <c r="P42" s="7"/>
      <c r="Q42" s="7"/>
    </row>
    <row r="43" spans="2:17" customFormat="1">
      <c r="B43" s="119" t="s">
        <v>123</v>
      </c>
      <c r="C43" s="130" t="s">
        <v>2352</v>
      </c>
      <c r="D43" s="119" t="s">
        <v>137</v>
      </c>
      <c r="E43" s="130" t="s">
        <v>57</v>
      </c>
      <c r="F43" s="119">
        <v>751204</v>
      </c>
      <c r="G43" s="119" t="s">
        <v>262</v>
      </c>
      <c r="H43" s="119" t="s">
        <v>1424</v>
      </c>
      <c r="I43" s="131">
        <v>3</v>
      </c>
      <c r="J43" s="141" t="s">
        <v>61</v>
      </c>
      <c r="K43" s="122" t="s">
        <v>851</v>
      </c>
      <c r="L43" s="48"/>
      <c r="M43" s="7"/>
      <c r="N43" s="7"/>
      <c r="O43" s="7"/>
      <c r="P43" s="7"/>
      <c r="Q43" s="7"/>
    </row>
    <row r="44" spans="2:17" customFormat="1">
      <c r="B44" s="119" t="s">
        <v>124</v>
      </c>
      <c r="C44" s="130" t="s">
        <v>2352</v>
      </c>
      <c r="D44" s="119" t="s">
        <v>137</v>
      </c>
      <c r="E44" s="130" t="s">
        <v>144</v>
      </c>
      <c r="F44" s="119">
        <v>712618</v>
      </c>
      <c r="G44" s="119" t="s">
        <v>199</v>
      </c>
      <c r="H44" s="119" t="s">
        <v>2394</v>
      </c>
      <c r="I44" s="131">
        <v>1</v>
      </c>
      <c r="J44" s="141" t="s">
        <v>61</v>
      </c>
      <c r="K44" s="122" t="s">
        <v>851</v>
      </c>
      <c r="L44" s="48"/>
      <c r="M44" s="7"/>
      <c r="N44" s="7"/>
      <c r="O44" s="7"/>
      <c r="P44" s="7"/>
      <c r="Q44" s="7"/>
    </row>
    <row r="45" spans="2:17" customFormat="1">
      <c r="B45" s="119" t="s">
        <v>125</v>
      </c>
      <c r="C45" s="130" t="s">
        <v>2352</v>
      </c>
      <c r="D45" s="119" t="s">
        <v>137</v>
      </c>
      <c r="E45" s="130" t="s">
        <v>206</v>
      </c>
      <c r="F45" s="119">
        <v>722204</v>
      </c>
      <c r="G45" s="119" t="s">
        <v>207</v>
      </c>
      <c r="H45" s="119" t="s">
        <v>1349</v>
      </c>
      <c r="I45" s="131">
        <v>3</v>
      </c>
      <c r="J45" s="141" t="s">
        <v>61</v>
      </c>
      <c r="K45" s="122" t="s">
        <v>851</v>
      </c>
      <c r="L45" s="50"/>
      <c r="M45" s="7"/>
      <c r="N45" s="7"/>
      <c r="O45" s="7"/>
      <c r="P45" s="7"/>
      <c r="Q45" s="7"/>
    </row>
    <row r="46" spans="2:17" customFormat="1">
      <c r="B46" s="119" t="s">
        <v>126</v>
      </c>
      <c r="C46" s="130" t="s">
        <v>2352</v>
      </c>
      <c r="D46" s="119" t="s">
        <v>137</v>
      </c>
      <c r="E46" s="130" t="s">
        <v>38</v>
      </c>
      <c r="F46" s="119">
        <v>741103</v>
      </c>
      <c r="G46" s="119" t="s">
        <v>205</v>
      </c>
      <c r="H46" s="119" t="s">
        <v>1424</v>
      </c>
      <c r="I46" s="131">
        <v>2</v>
      </c>
      <c r="J46" s="141" t="s">
        <v>61</v>
      </c>
      <c r="K46" s="122" t="s">
        <v>851</v>
      </c>
      <c r="L46" s="48"/>
      <c r="M46" s="7"/>
      <c r="N46" s="7"/>
      <c r="O46" s="7"/>
      <c r="P46" s="7"/>
      <c r="Q46" s="7"/>
    </row>
    <row r="47" spans="2:17" customFormat="1">
      <c r="B47" s="119" t="s">
        <v>127</v>
      </c>
      <c r="C47" s="130" t="s">
        <v>2352</v>
      </c>
      <c r="D47" s="119" t="s">
        <v>137</v>
      </c>
      <c r="E47" s="130" t="s">
        <v>53</v>
      </c>
      <c r="F47" s="119">
        <v>741203</v>
      </c>
      <c r="G47" s="119" t="s">
        <v>232</v>
      </c>
      <c r="H47" s="119" t="s">
        <v>1343</v>
      </c>
      <c r="I47" s="131">
        <v>1</v>
      </c>
      <c r="J47" s="141" t="s">
        <v>61</v>
      </c>
      <c r="K47" s="122" t="s">
        <v>851</v>
      </c>
      <c r="L47" s="48"/>
      <c r="M47" s="7"/>
      <c r="N47" s="7"/>
      <c r="O47" s="7"/>
      <c r="P47" s="7"/>
      <c r="Q47" s="7"/>
    </row>
    <row r="48" spans="2:17" customFormat="1" hidden="1">
      <c r="B48" s="119" t="s">
        <v>128</v>
      </c>
      <c r="C48" s="130" t="s">
        <v>2352</v>
      </c>
      <c r="D48" s="119" t="s">
        <v>137</v>
      </c>
      <c r="E48" s="130" t="s">
        <v>138</v>
      </c>
      <c r="F48" s="119">
        <v>432106</v>
      </c>
      <c r="G48" s="119" t="s">
        <v>860</v>
      </c>
      <c r="H48" s="119" t="s">
        <v>1327</v>
      </c>
      <c r="I48" s="131">
        <v>3</v>
      </c>
      <c r="J48" s="141" t="s">
        <v>195</v>
      </c>
      <c r="K48" s="122" t="s">
        <v>41</v>
      </c>
      <c r="L48" s="48"/>
      <c r="M48" s="7"/>
      <c r="N48" s="7"/>
      <c r="O48" s="7"/>
      <c r="P48" s="7"/>
      <c r="Q48" s="7"/>
    </row>
    <row r="49" spans="2:17" customFormat="1">
      <c r="B49" s="119" t="s">
        <v>129</v>
      </c>
      <c r="C49" s="130" t="s">
        <v>2352</v>
      </c>
      <c r="D49" s="119" t="s">
        <v>137</v>
      </c>
      <c r="E49" s="130" t="s">
        <v>241</v>
      </c>
      <c r="F49" s="119">
        <v>834103</v>
      </c>
      <c r="G49" s="119" t="s">
        <v>242</v>
      </c>
      <c r="H49" s="119" t="s">
        <v>1344</v>
      </c>
      <c r="I49" s="131">
        <v>1</v>
      </c>
      <c r="J49" s="141" t="s">
        <v>61</v>
      </c>
      <c r="K49" s="122" t="s">
        <v>851</v>
      </c>
      <c r="L49" s="48"/>
      <c r="M49" s="7"/>
      <c r="N49" s="7"/>
      <c r="O49" s="7"/>
      <c r="P49" s="7"/>
      <c r="Q49" s="7"/>
    </row>
    <row r="50" spans="2:17" customFormat="1" hidden="1">
      <c r="B50" s="119" t="s">
        <v>130</v>
      </c>
      <c r="C50" s="130" t="s">
        <v>139</v>
      </c>
      <c r="D50" s="119" t="s">
        <v>140</v>
      </c>
      <c r="E50" s="283" t="s">
        <v>36</v>
      </c>
      <c r="F50" s="119">
        <v>514101</v>
      </c>
      <c r="G50" s="119" t="s">
        <v>197</v>
      </c>
      <c r="H50" s="119" t="s">
        <v>1337</v>
      </c>
      <c r="I50" s="131">
        <v>4</v>
      </c>
      <c r="J50" s="7" t="s">
        <v>1485</v>
      </c>
      <c r="K50" s="122" t="s">
        <v>35</v>
      </c>
      <c r="L50" s="48"/>
      <c r="M50" s="7"/>
      <c r="N50" s="7"/>
      <c r="O50" s="43"/>
      <c r="P50" s="7"/>
      <c r="Q50" s="7"/>
    </row>
    <row r="51" spans="2:17" customFormat="1" hidden="1">
      <c r="B51" s="119" t="s">
        <v>131</v>
      </c>
      <c r="C51" s="130" t="s">
        <v>139</v>
      </c>
      <c r="D51" s="119" t="s">
        <v>140</v>
      </c>
      <c r="E51" s="130" t="s">
        <v>44</v>
      </c>
      <c r="F51" s="119">
        <v>512001</v>
      </c>
      <c r="G51" s="119" t="s">
        <v>203</v>
      </c>
      <c r="H51" s="119" t="s">
        <v>1338</v>
      </c>
      <c r="I51" s="131">
        <v>6</v>
      </c>
      <c r="J51" s="7" t="s">
        <v>1485</v>
      </c>
      <c r="K51" s="122" t="s">
        <v>35</v>
      </c>
      <c r="L51" s="48"/>
      <c r="M51" s="7"/>
      <c r="N51" s="7"/>
      <c r="O51" s="43"/>
      <c r="P51" s="7"/>
      <c r="Q51" s="7"/>
    </row>
    <row r="52" spans="2:17" customFormat="1" hidden="1">
      <c r="B52" s="119" t="s">
        <v>132</v>
      </c>
      <c r="C52" s="130" t="s">
        <v>139</v>
      </c>
      <c r="D52" s="119" t="s">
        <v>140</v>
      </c>
      <c r="E52" s="283" t="s">
        <v>45</v>
      </c>
      <c r="F52" s="119">
        <v>522301</v>
      </c>
      <c r="G52" s="119" t="s">
        <v>200</v>
      </c>
      <c r="H52" s="119" t="s">
        <v>1339</v>
      </c>
      <c r="I52" s="131">
        <v>1</v>
      </c>
      <c r="J52" s="7" t="s">
        <v>1485</v>
      </c>
      <c r="K52" s="122" t="s">
        <v>35</v>
      </c>
      <c r="L52" s="48"/>
      <c r="M52" s="7"/>
      <c r="N52" s="7"/>
      <c r="O52" s="43"/>
      <c r="P52" s="7"/>
      <c r="Q52" s="7"/>
    </row>
    <row r="53" spans="2:17" customFormat="1" hidden="1">
      <c r="B53" s="119" t="s">
        <v>133</v>
      </c>
      <c r="C53" s="130" t="s">
        <v>139</v>
      </c>
      <c r="D53" s="119" t="s">
        <v>140</v>
      </c>
      <c r="E53" s="130" t="s">
        <v>37</v>
      </c>
      <c r="F53" s="119">
        <v>751201</v>
      </c>
      <c r="G53" s="119" t="s">
        <v>866</v>
      </c>
      <c r="H53" s="119" t="s">
        <v>1409</v>
      </c>
      <c r="I53" s="131">
        <v>1</v>
      </c>
      <c r="J53" s="141" t="s">
        <v>141</v>
      </c>
      <c r="K53" s="122" t="s">
        <v>943</v>
      </c>
      <c r="L53" s="48"/>
      <c r="M53" s="7"/>
      <c r="N53" s="7"/>
      <c r="O53" s="7"/>
      <c r="P53" s="7"/>
      <c r="Q53" s="7"/>
    </row>
    <row r="54" spans="2:17" customFormat="1" hidden="1">
      <c r="B54" s="119" t="s">
        <v>134</v>
      </c>
      <c r="C54" s="130" t="s">
        <v>139</v>
      </c>
      <c r="D54" s="119" t="s">
        <v>140</v>
      </c>
      <c r="E54" s="130" t="s">
        <v>34</v>
      </c>
      <c r="F54" s="119">
        <v>723103</v>
      </c>
      <c r="G54" s="119" t="s">
        <v>201</v>
      </c>
      <c r="H54" s="6" t="s">
        <v>1336</v>
      </c>
      <c r="I54" s="131">
        <v>9</v>
      </c>
      <c r="J54" s="7" t="s">
        <v>1485</v>
      </c>
      <c r="K54" s="122" t="s">
        <v>35</v>
      </c>
      <c r="L54" s="48"/>
      <c r="M54" s="7"/>
      <c r="N54" s="7"/>
      <c r="O54" s="43"/>
      <c r="P54" s="7"/>
      <c r="Q54" s="7"/>
    </row>
    <row r="55" spans="2:17" ht="30" hidden="1">
      <c r="B55" s="119" t="s">
        <v>135</v>
      </c>
      <c r="C55" s="283" t="s">
        <v>142</v>
      </c>
      <c r="D55" s="119" t="s">
        <v>143</v>
      </c>
      <c r="E55" s="283" t="s">
        <v>45</v>
      </c>
      <c r="F55" s="119">
        <v>522301</v>
      </c>
      <c r="G55" s="119" t="s">
        <v>200</v>
      </c>
      <c r="H55" s="132" t="s">
        <v>2345</v>
      </c>
      <c r="I55" s="131">
        <v>4</v>
      </c>
      <c r="J55" s="280" t="s">
        <v>116</v>
      </c>
      <c r="K55" s="207" t="s">
        <v>942</v>
      </c>
      <c r="L55" s="303"/>
      <c r="M55" s="10"/>
      <c r="N55" s="10"/>
      <c r="O55" s="10"/>
      <c r="P55" s="10"/>
      <c r="Q55" s="281"/>
    </row>
    <row r="56" spans="2:17" hidden="1">
      <c r="B56" s="119" t="s">
        <v>136</v>
      </c>
      <c r="C56" s="283" t="s">
        <v>142</v>
      </c>
      <c r="D56" s="119" t="s">
        <v>143</v>
      </c>
      <c r="E56" s="283" t="s">
        <v>36</v>
      </c>
      <c r="F56" s="119">
        <v>514101</v>
      </c>
      <c r="G56" s="119" t="s">
        <v>197</v>
      </c>
      <c r="H56" s="143" t="s">
        <v>1421</v>
      </c>
      <c r="I56" s="131">
        <v>3</v>
      </c>
      <c r="J56" s="280" t="s">
        <v>116</v>
      </c>
      <c r="K56" s="207" t="s">
        <v>942</v>
      </c>
      <c r="L56" s="303"/>
      <c r="M56" s="10"/>
      <c r="N56" s="10"/>
      <c r="O56" s="10"/>
      <c r="P56" s="10"/>
      <c r="Q56" s="281"/>
    </row>
    <row r="57" spans="2:17" customFormat="1" hidden="1">
      <c r="B57" s="119" t="s">
        <v>145</v>
      </c>
      <c r="C57" s="130" t="s">
        <v>142</v>
      </c>
      <c r="D57" s="119" t="s">
        <v>143</v>
      </c>
      <c r="E57" s="130" t="s">
        <v>38</v>
      </c>
      <c r="F57" s="119">
        <v>741103</v>
      </c>
      <c r="G57" s="119" t="s">
        <v>205</v>
      </c>
      <c r="H57" s="119"/>
      <c r="I57" s="319">
        <v>0</v>
      </c>
      <c r="J57" s="141" t="s">
        <v>229</v>
      </c>
      <c r="K57" s="221"/>
      <c r="L57" s="48"/>
      <c r="M57" s="7"/>
      <c r="N57" s="7"/>
      <c r="O57" s="7"/>
      <c r="P57" s="7"/>
      <c r="Q57" s="7"/>
    </row>
    <row r="58" spans="2:17" customFormat="1" hidden="1">
      <c r="B58" s="119" t="s">
        <v>146</v>
      </c>
      <c r="C58" s="130" t="s">
        <v>142</v>
      </c>
      <c r="D58" s="119" t="s">
        <v>143</v>
      </c>
      <c r="E58" s="130" t="s">
        <v>144</v>
      </c>
      <c r="F58" s="119">
        <v>712618</v>
      </c>
      <c r="G58" s="119" t="s">
        <v>199</v>
      </c>
      <c r="H58" s="119" t="s">
        <v>1343</v>
      </c>
      <c r="I58" s="131">
        <v>1</v>
      </c>
      <c r="J58" s="141" t="s">
        <v>229</v>
      </c>
      <c r="K58" s="122" t="s">
        <v>105</v>
      </c>
      <c r="L58" s="49"/>
      <c r="M58" s="7"/>
      <c r="N58" s="7"/>
      <c r="O58" s="7"/>
      <c r="P58" s="7"/>
      <c r="Q58" s="7"/>
    </row>
    <row r="59" spans="2:17" customFormat="1" hidden="1">
      <c r="B59" s="119" t="s">
        <v>147</v>
      </c>
      <c r="C59" s="130" t="s">
        <v>173</v>
      </c>
      <c r="D59" s="119" t="s">
        <v>174</v>
      </c>
      <c r="E59" s="130" t="s">
        <v>53</v>
      </c>
      <c r="F59" s="119">
        <v>741203</v>
      </c>
      <c r="G59" s="119" t="s">
        <v>232</v>
      </c>
      <c r="H59" s="119" t="s">
        <v>1344</v>
      </c>
      <c r="I59" s="131">
        <v>1</v>
      </c>
      <c r="J59" s="141" t="s">
        <v>229</v>
      </c>
      <c r="K59" s="122" t="s">
        <v>105</v>
      </c>
      <c r="L59" s="49"/>
      <c r="M59" s="7"/>
      <c r="N59" s="7"/>
      <c r="O59" s="7"/>
      <c r="P59" s="7"/>
      <c r="Q59" s="7"/>
    </row>
    <row r="60" spans="2:17" customFormat="1" hidden="1">
      <c r="B60" s="119" t="s">
        <v>148</v>
      </c>
      <c r="C60" s="130" t="s">
        <v>173</v>
      </c>
      <c r="D60" s="119" t="s">
        <v>174</v>
      </c>
      <c r="E60" s="283" t="s">
        <v>36</v>
      </c>
      <c r="F60" s="119">
        <v>514101</v>
      </c>
      <c r="G60" s="119" t="s">
        <v>197</v>
      </c>
      <c r="H60" s="119" t="s">
        <v>1337</v>
      </c>
      <c r="I60" s="131">
        <v>2</v>
      </c>
      <c r="J60" s="7" t="s">
        <v>1485</v>
      </c>
      <c r="K60" s="122" t="s">
        <v>35</v>
      </c>
      <c r="L60" s="48"/>
      <c r="M60" s="7"/>
      <c r="N60" s="7"/>
      <c r="O60" s="43"/>
      <c r="P60" s="7"/>
      <c r="Q60" s="7"/>
    </row>
    <row r="61" spans="2:17" customFormat="1" hidden="1">
      <c r="B61" s="119" t="s">
        <v>149</v>
      </c>
      <c r="C61" s="130" t="s">
        <v>173</v>
      </c>
      <c r="D61" s="119" t="s">
        <v>174</v>
      </c>
      <c r="E61" s="130" t="s">
        <v>103</v>
      </c>
      <c r="F61" s="119">
        <v>722307</v>
      </c>
      <c r="G61" s="119" t="s">
        <v>244</v>
      </c>
      <c r="H61" s="119" t="s">
        <v>1344</v>
      </c>
      <c r="I61" s="131">
        <v>4</v>
      </c>
      <c r="J61" s="141" t="s">
        <v>229</v>
      </c>
      <c r="K61" s="122" t="s">
        <v>105</v>
      </c>
      <c r="L61" s="49"/>
      <c r="M61" s="7"/>
      <c r="N61" s="7"/>
      <c r="O61" s="7"/>
      <c r="P61" s="7"/>
      <c r="Q61" s="7"/>
    </row>
    <row r="62" spans="2:17" customFormat="1" hidden="1">
      <c r="B62" s="119" t="s">
        <v>150</v>
      </c>
      <c r="C62" s="130" t="s">
        <v>187</v>
      </c>
      <c r="D62" s="119" t="s">
        <v>188</v>
      </c>
      <c r="E62" s="283" t="s">
        <v>36</v>
      </c>
      <c r="F62" s="119">
        <v>514101</v>
      </c>
      <c r="G62" s="119" t="s">
        <v>197</v>
      </c>
      <c r="H62" s="6" t="s">
        <v>1422</v>
      </c>
      <c r="I62" s="131">
        <v>6</v>
      </c>
      <c r="J62" s="141" t="s">
        <v>589</v>
      </c>
      <c r="K62" s="122" t="s">
        <v>849</v>
      </c>
      <c r="L62" s="51"/>
      <c r="M62" s="7"/>
      <c r="N62" s="18"/>
      <c r="O62" s="7"/>
      <c r="P62" s="7"/>
      <c r="Q62" s="7"/>
    </row>
    <row r="63" spans="2:17" customFormat="1" hidden="1">
      <c r="B63" s="119" t="s">
        <v>151</v>
      </c>
      <c r="C63" s="130" t="s">
        <v>187</v>
      </c>
      <c r="D63" s="119" t="s">
        <v>188</v>
      </c>
      <c r="E63" s="283" t="s">
        <v>45</v>
      </c>
      <c r="F63" s="119">
        <v>522301</v>
      </c>
      <c r="G63" s="119" t="s">
        <v>200</v>
      </c>
      <c r="H63" s="6" t="s">
        <v>1413</v>
      </c>
      <c r="I63" s="131">
        <v>2</v>
      </c>
      <c r="J63" s="141" t="s">
        <v>589</v>
      </c>
      <c r="K63" s="122" t="s">
        <v>849</v>
      </c>
      <c r="L63" s="51"/>
      <c r="M63" s="7"/>
      <c r="N63" s="18"/>
      <c r="O63" s="7"/>
      <c r="P63" s="7"/>
      <c r="Q63" s="7"/>
    </row>
    <row r="64" spans="2:17" customFormat="1" hidden="1">
      <c r="B64" s="119" t="s">
        <v>152</v>
      </c>
      <c r="C64" s="130" t="s">
        <v>187</v>
      </c>
      <c r="D64" s="119" t="s">
        <v>188</v>
      </c>
      <c r="E64" s="130" t="s">
        <v>34</v>
      </c>
      <c r="F64" s="119">
        <v>723103</v>
      </c>
      <c r="G64" s="119" t="s">
        <v>201</v>
      </c>
      <c r="H64" s="119" t="s">
        <v>1413</v>
      </c>
      <c r="I64" s="131">
        <v>5</v>
      </c>
      <c r="J64" s="141" t="s">
        <v>589</v>
      </c>
      <c r="K64" s="122" t="s">
        <v>849</v>
      </c>
      <c r="L64" s="52"/>
      <c r="M64" s="7"/>
      <c r="N64" s="18"/>
      <c r="O64" s="7"/>
      <c r="P64" s="7"/>
      <c r="Q64" s="7"/>
    </row>
    <row r="65" spans="2:17" customFormat="1" hidden="1">
      <c r="B65" s="119" t="s">
        <v>153</v>
      </c>
      <c r="C65" s="130" t="s">
        <v>187</v>
      </c>
      <c r="D65" s="119" t="s">
        <v>188</v>
      </c>
      <c r="E65" s="130" t="s">
        <v>44</v>
      </c>
      <c r="F65" s="119">
        <v>512001</v>
      </c>
      <c r="G65" s="119" t="s">
        <v>203</v>
      </c>
      <c r="H65" s="119" t="s">
        <v>1410</v>
      </c>
      <c r="I65" s="131">
        <v>4</v>
      </c>
      <c r="J65" s="141" t="s">
        <v>589</v>
      </c>
      <c r="K65" s="122" t="s">
        <v>849</v>
      </c>
      <c r="L65" s="52"/>
      <c r="M65" s="7"/>
      <c r="N65" s="18"/>
      <c r="O65" s="7"/>
      <c r="P65" s="7"/>
      <c r="Q65" s="7"/>
    </row>
    <row r="66" spans="2:17" customFormat="1" hidden="1">
      <c r="B66" s="119" t="s">
        <v>154</v>
      </c>
      <c r="C66" s="130" t="s">
        <v>187</v>
      </c>
      <c r="D66" s="119" t="s">
        <v>188</v>
      </c>
      <c r="E66" s="130" t="s">
        <v>190</v>
      </c>
      <c r="F66" s="119">
        <v>712906</v>
      </c>
      <c r="G66" s="119" t="s">
        <v>862</v>
      </c>
      <c r="H66" s="119" t="s">
        <v>1326</v>
      </c>
      <c r="I66" s="131">
        <v>3</v>
      </c>
      <c r="J66" s="141" t="s">
        <v>195</v>
      </c>
      <c r="K66" s="121" t="s">
        <v>41</v>
      </c>
      <c r="L66" s="52"/>
      <c r="M66" s="7"/>
      <c r="N66" s="7"/>
      <c r="O66" s="7"/>
      <c r="P66" s="7"/>
      <c r="Q66" s="7"/>
    </row>
    <row r="67" spans="2:17" customFormat="1" hidden="1">
      <c r="B67" s="119" t="s">
        <v>155</v>
      </c>
      <c r="C67" s="130" t="s">
        <v>187</v>
      </c>
      <c r="D67" s="119" t="s">
        <v>188</v>
      </c>
      <c r="E67" s="130" t="s">
        <v>39</v>
      </c>
      <c r="F67" s="119">
        <v>711204</v>
      </c>
      <c r="G67" s="119" t="s">
        <v>196</v>
      </c>
      <c r="H67" s="119" t="s">
        <v>2394</v>
      </c>
      <c r="I67" s="131">
        <v>2</v>
      </c>
      <c r="J67" s="141" t="s">
        <v>229</v>
      </c>
      <c r="K67" s="122" t="s">
        <v>105</v>
      </c>
      <c r="L67" s="53"/>
      <c r="M67" s="7"/>
      <c r="N67" s="9"/>
      <c r="O67" s="7"/>
      <c r="P67" s="7"/>
      <c r="Q67" s="7"/>
    </row>
    <row r="68" spans="2:17" customFormat="1" hidden="1">
      <c r="B68" s="119" t="s">
        <v>156</v>
      </c>
      <c r="C68" s="130" t="s">
        <v>187</v>
      </c>
      <c r="D68" s="119" t="s">
        <v>188</v>
      </c>
      <c r="E68" s="130" t="s">
        <v>37</v>
      </c>
      <c r="F68" s="119">
        <v>751201</v>
      </c>
      <c r="G68" s="119" t="s">
        <v>866</v>
      </c>
      <c r="H68" s="119" t="s">
        <v>1345</v>
      </c>
      <c r="I68" s="131">
        <v>1</v>
      </c>
      <c r="J68" s="141" t="s">
        <v>229</v>
      </c>
      <c r="K68" s="122" t="s">
        <v>105</v>
      </c>
      <c r="L68" s="52"/>
      <c r="M68" s="7"/>
      <c r="N68" s="18"/>
      <c r="O68" s="7"/>
      <c r="P68" s="7"/>
      <c r="Q68" s="7"/>
    </row>
    <row r="69" spans="2:17" customFormat="1" hidden="1">
      <c r="B69" s="119" t="s">
        <v>157</v>
      </c>
      <c r="C69" s="130" t="s">
        <v>187</v>
      </c>
      <c r="D69" s="119" t="s">
        <v>188</v>
      </c>
      <c r="E69" s="130" t="s">
        <v>38</v>
      </c>
      <c r="F69" s="119">
        <v>741103</v>
      </c>
      <c r="G69" s="119" t="s">
        <v>205</v>
      </c>
      <c r="H69" s="119" t="s">
        <v>1343</v>
      </c>
      <c r="I69" s="131">
        <v>1</v>
      </c>
      <c r="J69" s="141" t="s">
        <v>229</v>
      </c>
      <c r="K69" s="122" t="s">
        <v>105</v>
      </c>
      <c r="L69" s="53"/>
      <c r="M69" s="7"/>
      <c r="N69" s="7"/>
      <c r="O69" s="7"/>
      <c r="P69" s="7"/>
      <c r="Q69" s="7"/>
    </row>
    <row r="70" spans="2:17" customFormat="1" hidden="1">
      <c r="B70" s="119" t="s">
        <v>158</v>
      </c>
      <c r="C70" s="130" t="s">
        <v>191</v>
      </c>
      <c r="D70" s="119" t="s">
        <v>192</v>
      </c>
      <c r="E70" s="130" t="s">
        <v>39</v>
      </c>
      <c r="F70" s="119">
        <v>711204</v>
      </c>
      <c r="G70" s="119" t="s">
        <v>196</v>
      </c>
      <c r="H70" s="119" t="s">
        <v>2394</v>
      </c>
      <c r="I70" s="131">
        <v>1</v>
      </c>
      <c r="J70" s="141" t="s">
        <v>229</v>
      </c>
      <c r="K70" s="122" t="s">
        <v>105</v>
      </c>
      <c r="L70" s="49"/>
      <c r="M70" s="7"/>
      <c r="N70" s="7"/>
      <c r="O70" s="7"/>
      <c r="P70" s="7"/>
      <c r="Q70" s="7"/>
    </row>
    <row r="71" spans="2:17" customFormat="1" hidden="1">
      <c r="B71" s="119" t="s">
        <v>159</v>
      </c>
      <c r="C71" s="130" t="s">
        <v>191</v>
      </c>
      <c r="D71" s="119" t="s">
        <v>192</v>
      </c>
      <c r="E71" s="283" t="s">
        <v>36</v>
      </c>
      <c r="F71" s="119">
        <v>514101</v>
      </c>
      <c r="G71" s="119" t="s">
        <v>197</v>
      </c>
      <c r="H71" s="133" t="s">
        <v>2369</v>
      </c>
      <c r="I71" s="131">
        <v>3</v>
      </c>
      <c r="J71" s="130" t="s">
        <v>191</v>
      </c>
      <c r="K71" s="221" t="s">
        <v>945</v>
      </c>
      <c r="L71" s="54"/>
      <c r="M71" s="7"/>
      <c r="N71" s="7"/>
      <c r="O71" s="7"/>
      <c r="P71" s="7"/>
      <c r="Q71" s="7"/>
    </row>
    <row r="72" spans="2:17" customFormat="1" hidden="1">
      <c r="B72" s="119" t="s">
        <v>160</v>
      </c>
      <c r="C72" s="130" t="s">
        <v>191</v>
      </c>
      <c r="D72" s="119" t="s">
        <v>192</v>
      </c>
      <c r="E72" s="130" t="s">
        <v>144</v>
      </c>
      <c r="F72" s="119">
        <v>712618</v>
      </c>
      <c r="G72" s="119" t="s">
        <v>199</v>
      </c>
      <c r="H72" s="119" t="s">
        <v>1343</v>
      </c>
      <c r="I72" s="131">
        <v>2</v>
      </c>
      <c r="J72" s="141" t="s">
        <v>229</v>
      </c>
      <c r="K72" s="122" t="s">
        <v>105</v>
      </c>
      <c r="L72" s="49"/>
      <c r="M72" s="7"/>
      <c r="N72" s="7"/>
      <c r="O72" s="7"/>
      <c r="P72" s="7"/>
      <c r="Q72" s="7"/>
    </row>
    <row r="73" spans="2:17" customFormat="1" hidden="1">
      <c r="B73" s="119" t="s">
        <v>161</v>
      </c>
      <c r="C73" s="130" t="s">
        <v>191</v>
      </c>
      <c r="D73" s="119" t="s">
        <v>192</v>
      </c>
      <c r="E73" s="283" t="s">
        <v>45</v>
      </c>
      <c r="F73" s="119">
        <v>522301</v>
      </c>
      <c r="G73" s="119" t="s">
        <v>200</v>
      </c>
      <c r="H73" s="119" t="s">
        <v>2394</v>
      </c>
      <c r="I73" s="131">
        <v>3</v>
      </c>
      <c r="J73" s="141" t="s">
        <v>229</v>
      </c>
      <c r="K73" s="122" t="s">
        <v>105</v>
      </c>
      <c r="L73" s="49"/>
      <c r="M73" s="7"/>
      <c r="N73" s="7"/>
      <c r="O73" s="7"/>
      <c r="P73" s="7"/>
      <c r="Q73" s="7"/>
    </row>
    <row r="74" spans="2:17" customFormat="1" hidden="1">
      <c r="B74" s="119" t="s">
        <v>162</v>
      </c>
      <c r="C74" s="130" t="s">
        <v>191</v>
      </c>
      <c r="D74" s="119" t="s">
        <v>192</v>
      </c>
      <c r="E74" s="130" t="s">
        <v>34</v>
      </c>
      <c r="F74" s="119">
        <v>723103</v>
      </c>
      <c r="G74" s="119" t="s">
        <v>201</v>
      </c>
      <c r="H74" s="133" t="s">
        <v>2370</v>
      </c>
      <c r="I74" s="131">
        <v>3</v>
      </c>
      <c r="J74" s="130" t="s">
        <v>191</v>
      </c>
      <c r="K74" s="221" t="s">
        <v>945</v>
      </c>
      <c r="L74" s="54"/>
      <c r="M74" s="7"/>
      <c r="N74" s="7"/>
      <c r="O74" s="7"/>
      <c r="P74" s="7"/>
      <c r="Q74" s="7"/>
    </row>
    <row r="75" spans="2:17" customFormat="1" hidden="1">
      <c r="B75" s="119" t="s">
        <v>163</v>
      </c>
      <c r="C75" s="130" t="s">
        <v>191</v>
      </c>
      <c r="D75" s="119" t="s">
        <v>192</v>
      </c>
      <c r="E75" s="130" t="s">
        <v>56</v>
      </c>
      <c r="F75" s="119">
        <v>712905</v>
      </c>
      <c r="G75" s="119" t="s">
        <v>202</v>
      </c>
      <c r="H75" s="119" t="s">
        <v>1326</v>
      </c>
      <c r="I75" s="131">
        <v>6</v>
      </c>
      <c r="J75" s="141" t="s">
        <v>195</v>
      </c>
      <c r="K75" s="122" t="s">
        <v>41</v>
      </c>
      <c r="L75" s="48"/>
      <c r="M75" s="7"/>
      <c r="N75" s="7"/>
      <c r="O75" s="7"/>
      <c r="P75" s="7"/>
      <c r="Q75" s="7"/>
    </row>
    <row r="76" spans="2:17" customFormat="1" hidden="1">
      <c r="B76" s="119" t="s">
        <v>164</v>
      </c>
      <c r="C76" s="130" t="s">
        <v>191</v>
      </c>
      <c r="D76" s="119" t="s">
        <v>192</v>
      </c>
      <c r="E76" s="130" t="s">
        <v>44</v>
      </c>
      <c r="F76" s="119">
        <v>512001</v>
      </c>
      <c r="G76" s="119" t="s">
        <v>203</v>
      </c>
      <c r="H76" s="119" t="s">
        <v>1345</v>
      </c>
      <c r="I76" s="319">
        <v>0</v>
      </c>
      <c r="J76" s="141" t="s">
        <v>229</v>
      </c>
      <c r="K76" s="122"/>
      <c r="L76" s="49"/>
      <c r="M76" s="7"/>
      <c r="N76" s="7"/>
      <c r="O76" s="7"/>
      <c r="P76" s="7"/>
      <c r="Q76" s="7"/>
    </row>
    <row r="77" spans="2:17" customFormat="1" hidden="1">
      <c r="B77" s="119" t="s">
        <v>165</v>
      </c>
      <c r="C77" s="130" t="s">
        <v>191</v>
      </c>
      <c r="D77" s="119" t="s">
        <v>192</v>
      </c>
      <c r="E77" s="130" t="s">
        <v>33</v>
      </c>
      <c r="F77" s="119">
        <v>752205</v>
      </c>
      <c r="G77" s="119" t="s">
        <v>204</v>
      </c>
      <c r="H77" s="119" t="s">
        <v>1349</v>
      </c>
      <c r="I77" s="319">
        <v>0</v>
      </c>
      <c r="J77" s="141" t="s">
        <v>229</v>
      </c>
      <c r="K77" s="122"/>
      <c r="L77" s="49"/>
      <c r="M77" s="7"/>
      <c r="N77" s="7"/>
      <c r="O77" s="7"/>
      <c r="P77" s="7"/>
      <c r="Q77" s="7"/>
    </row>
    <row r="78" spans="2:17" customFormat="1" hidden="1">
      <c r="B78" s="119" t="s">
        <v>166</v>
      </c>
      <c r="C78" s="130" t="s">
        <v>191</v>
      </c>
      <c r="D78" s="119" t="s">
        <v>192</v>
      </c>
      <c r="E78" s="130" t="s">
        <v>38</v>
      </c>
      <c r="F78" s="119">
        <v>741103</v>
      </c>
      <c r="G78" s="119" t="s">
        <v>205</v>
      </c>
      <c r="H78" s="119" t="s">
        <v>1343</v>
      </c>
      <c r="I78" s="131">
        <v>4</v>
      </c>
      <c r="J78" s="141" t="s">
        <v>229</v>
      </c>
      <c r="K78" s="122" t="s">
        <v>105</v>
      </c>
      <c r="L78" s="49"/>
      <c r="M78" s="7"/>
      <c r="N78" s="7"/>
      <c r="O78" s="7"/>
      <c r="P78" s="7"/>
      <c r="Q78" s="7"/>
    </row>
    <row r="79" spans="2:17" customFormat="1" hidden="1">
      <c r="B79" s="119" t="s">
        <v>167</v>
      </c>
      <c r="C79" s="130" t="s">
        <v>191</v>
      </c>
      <c r="D79" s="119" t="s">
        <v>192</v>
      </c>
      <c r="E79" s="130" t="s">
        <v>206</v>
      </c>
      <c r="F79" s="119">
        <v>722204</v>
      </c>
      <c r="G79" s="119" t="s">
        <v>207</v>
      </c>
      <c r="H79" s="119" t="s">
        <v>1345</v>
      </c>
      <c r="I79" s="319">
        <v>0</v>
      </c>
      <c r="J79" s="141" t="s">
        <v>229</v>
      </c>
      <c r="K79" s="122"/>
      <c r="L79" s="49"/>
      <c r="M79" s="7"/>
      <c r="N79" s="7"/>
      <c r="O79" s="7"/>
      <c r="P79" s="7"/>
      <c r="Q79" s="7"/>
    </row>
    <row r="80" spans="2:17" customFormat="1" hidden="1">
      <c r="B80" s="119" t="s">
        <v>168</v>
      </c>
      <c r="C80" s="130" t="s">
        <v>191</v>
      </c>
      <c r="D80" s="119" t="s">
        <v>192</v>
      </c>
      <c r="E80" s="130" t="s">
        <v>208</v>
      </c>
      <c r="F80" s="119">
        <v>713201</v>
      </c>
      <c r="G80" s="119" t="s">
        <v>209</v>
      </c>
      <c r="H80" s="220" t="s">
        <v>1349</v>
      </c>
      <c r="I80" s="131">
        <v>1</v>
      </c>
      <c r="J80" s="141" t="s">
        <v>229</v>
      </c>
      <c r="K80" s="122" t="s">
        <v>105</v>
      </c>
      <c r="L80" s="49"/>
      <c r="M80" s="7"/>
      <c r="N80" s="7"/>
      <c r="O80" s="7"/>
      <c r="P80" s="7"/>
      <c r="Q80" s="7"/>
    </row>
    <row r="81" spans="2:17" customFormat="1" hidden="1">
      <c r="B81" s="119" t="s">
        <v>169</v>
      </c>
      <c r="C81" s="130" t="s">
        <v>210</v>
      </c>
      <c r="D81" s="119" t="s">
        <v>211</v>
      </c>
      <c r="E81" s="130" t="s">
        <v>38</v>
      </c>
      <c r="F81" s="119">
        <v>741103</v>
      </c>
      <c r="G81" s="119" t="s">
        <v>205</v>
      </c>
      <c r="H81" s="119" t="s">
        <v>1409</v>
      </c>
      <c r="I81" s="131">
        <v>2</v>
      </c>
      <c r="J81" s="141" t="s">
        <v>141</v>
      </c>
      <c r="K81" s="221" t="s">
        <v>943</v>
      </c>
      <c r="L81" s="48"/>
      <c r="M81" s="7"/>
      <c r="N81" s="7"/>
      <c r="O81" s="7"/>
      <c r="P81" s="7"/>
      <c r="Q81" s="7"/>
    </row>
    <row r="82" spans="2:17" customFormat="1" hidden="1">
      <c r="B82" s="119" t="s">
        <v>170</v>
      </c>
      <c r="C82" s="130" t="s">
        <v>210</v>
      </c>
      <c r="D82" s="119" t="s">
        <v>211</v>
      </c>
      <c r="E82" s="283" t="s">
        <v>36</v>
      </c>
      <c r="F82" s="119">
        <v>514101</v>
      </c>
      <c r="G82" s="119" t="s">
        <v>197</v>
      </c>
      <c r="H82" s="119" t="s">
        <v>1409</v>
      </c>
      <c r="I82" s="131">
        <v>3</v>
      </c>
      <c r="J82" s="141" t="s">
        <v>141</v>
      </c>
      <c r="K82" s="122" t="s">
        <v>943</v>
      </c>
      <c r="L82" s="48"/>
      <c r="M82" s="7"/>
      <c r="N82" s="7"/>
      <c r="O82" s="7"/>
      <c r="P82" s="7"/>
      <c r="Q82" s="7"/>
    </row>
    <row r="83" spans="2:17" customFormat="1" hidden="1">
      <c r="B83" s="119" t="s">
        <v>171</v>
      </c>
      <c r="C83" s="130" t="s">
        <v>210</v>
      </c>
      <c r="D83" s="119" t="s">
        <v>211</v>
      </c>
      <c r="E83" s="130" t="s">
        <v>34</v>
      </c>
      <c r="F83" s="119">
        <v>723103</v>
      </c>
      <c r="G83" s="119" t="s">
        <v>201</v>
      </c>
      <c r="H83" s="119" t="s">
        <v>2331</v>
      </c>
      <c r="I83" s="131">
        <v>1</v>
      </c>
      <c r="J83" s="141" t="s">
        <v>141</v>
      </c>
      <c r="K83" s="122" t="s">
        <v>943</v>
      </c>
      <c r="L83" s="48"/>
      <c r="M83" s="7"/>
      <c r="N83" s="7"/>
      <c r="O83" s="7"/>
      <c r="P83" s="7"/>
      <c r="Q83" s="7"/>
    </row>
    <row r="84" spans="2:17" customFormat="1" hidden="1">
      <c r="B84" s="119" t="s">
        <v>172</v>
      </c>
      <c r="C84" s="130" t="s">
        <v>210</v>
      </c>
      <c r="D84" s="119" t="s">
        <v>211</v>
      </c>
      <c r="E84" s="283" t="s">
        <v>45</v>
      </c>
      <c r="F84" s="119">
        <v>522301</v>
      </c>
      <c r="G84" s="119" t="s">
        <v>200</v>
      </c>
      <c r="H84" s="119" t="s">
        <v>1434</v>
      </c>
      <c r="I84" s="131">
        <v>3</v>
      </c>
      <c r="J84" s="141" t="s">
        <v>141</v>
      </c>
      <c r="K84" s="122" t="s">
        <v>943</v>
      </c>
      <c r="L84" s="48"/>
      <c r="M84" s="7"/>
      <c r="N84" s="7"/>
      <c r="O84" s="7"/>
      <c r="P84" s="7"/>
      <c r="Q84" s="7"/>
    </row>
    <row r="85" spans="2:17" customFormat="1" hidden="1">
      <c r="B85" s="119" t="s">
        <v>176</v>
      </c>
      <c r="C85" s="130" t="s">
        <v>210</v>
      </c>
      <c r="D85" s="119" t="s">
        <v>211</v>
      </c>
      <c r="E85" s="130" t="s">
        <v>33</v>
      </c>
      <c r="F85" s="119">
        <v>752205</v>
      </c>
      <c r="G85" s="119" t="s">
        <v>204</v>
      </c>
      <c r="H85" s="119" t="s">
        <v>1409</v>
      </c>
      <c r="I85" s="131">
        <v>8</v>
      </c>
      <c r="J85" s="141" t="s">
        <v>141</v>
      </c>
      <c r="K85" s="122" t="s">
        <v>943</v>
      </c>
      <c r="L85" s="48"/>
      <c r="M85" s="7"/>
      <c r="N85" s="7"/>
      <c r="O85" s="7"/>
      <c r="P85" s="7"/>
      <c r="Q85" s="7"/>
    </row>
    <row r="86" spans="2:17" customFormat="1" hidden="1">
      <c r="B86" s="119" t="s">
        <v>177</v>
      </c>
      <c r="C86" s="130" t="s">
        <v>210</v>
      </c>
      <c r="D86" s="119" t="s">
        <v>211</v>
      </c>
      <c r="E86" s="130" t="s">
        <v>58</v>
      </c>
      <c r="F86" s="119">
        <v>753402</v>
      </c>
      <c r="G86" s="119" t="s">
        <v>570</v>
      </c>
      <c r="H86" s="119" t="s">
        <v>2415</v>
      </c>
      <c r="I86" s="131">
        <v>5</v>
      </c>
      <c r="J86" s="141" t="s">
        <v>141</v>
      </c>
      <c r="K86" s="122" t="s">
        <v>943</v>
      </c>
      <c r="L86" s="48"/>
      <c r="M86" s="7"/>
      <c r="N86" s="7"/>
      <c r="O86" s="7"/>
      <c r="P86" s="7"/>
      <c r="Q86" s="7"/>
    </row>
    <row r="87" spans="2:17" customFormat="1" hidden="1">
      <c r="B87" s="119" t="s">
        <v>178</v>
      </c>
      <c r="C87" s="130" t="s">
        <v>213</v>
      </c>
      <c r="D87" s="119" t="s">
        <v>214</v>
      </c>
      <c r="E87" s="130" t="s">
        <v>38</v>
      </c>
      <c r="F87" s="119">
        <v>741103</v>
      </c>
      <c r="G87" s="119" t="s">
        <v>205</v>
      </c>
      <c r="H87" s="119" t="s">
        <v>1409</v>
      </c>
      <c r="I87" s="131">
        <v>2</v>
      </c>
      <c r="J87" s="141" t="s">
        <v>141</v>
      </c>
      <c r="K87" s="122" t="s">
        <v>943</v>
      </c>
      <c r="L87" s="48"/>
      <c r="M87" s="7"/>
      <c r="N87" s="7"/>
      <c r="O87" s="7"/>
      <c r="P87" s="7"/>
      <c r="Q87" s="7"/>
    </row>
    <row r="88" spans="2:17" customFormat="1" hidden="1">
      <c r="B88" s="119" t="s">
        <v>179</v>
      </c>
      <c r="C88" s="130" t="s">
        <v>213</v>
      </c>
      <c r="D88" s="119" t="s">
        <v>214</v>
      </c>
      <c r="E88" s="130" t="s">
        <v>34</v>
      </c>
      <c r="F88" s="119">
        <v>723103</v>
      </c>
      <c r="G88" s="119" t="s">
        <v>201</v>
      </c>
      <c r="H88" s="119" t="s">
        <v>2331</v>
      </c>
      <c r="I88" s="131">
        <v>5</v>
      </c>
      <c r="J88" s="141" t="s">
        <v>141</v>
      </c>
      <c r="K88" s="122" t="s">
        <v>943</v>
      </c>
      <c r="L88" s="48"/>
      <c r="M88" s="7"/>
      <c r="N88" s="7"/>
      <c r="O88" s="7"/>
      <c r="P88" s="7"/>
      <c r="Q88" s="7"/>
    </row>
    <row r="89" spans="2:17" customFormat="1" hidden="1">
      <c r="B89" s="119" t="s">
        <v>180</v>
      </c>
      <c r="C89" s="130" t="s">
        <v>213</v>
      </c>
      <c r="D89" s="119" t="s">
        <v>214</v>
      </c>
      <c r="E89" s="130" t="s">
        <v>91</v>
      </c>
      <c r="F89" s="119">
        <v>752205</v>
      </c>
      <c r="G89" s="119" t="s">
        <v>204</v>
      </c>
      <c r="H89" s="119" t="s">
        <v>1409</v>
      </c>
      <c r="I89" s="131">
        <v>2</v>
      </c>
      <c r="J89" s="141" t="s">
        <v>141</v>
      </c>
      <c r="K89" s="122" t="s">
        <v>943</v>
      </c>
      <c r="L89" s="48"/>
      <c r="M89" s="7"/>
      <c r="N89" s="7"/>
      <c r="O89" s="7"/>
      <c r="P89" s="7"/>
      <c r="Q89" s="7"/>
    </row>
    <row r="90" spans="2:17" customFormat="1" hidden="1">
      <c r="B90" s="119" t="s">
        <v>181</v>
      </c>
      <c r="C90" s="130" t="s">
        <v>213</v>
      </c>
      <c r="D90" s="119" t="s">
        <v>214</v>
      </c>
      <c r="E90" s="130" t="s">
        <v>215</v>
      </c>
      <c r="F90" s="119">
        <v>751201</v>
      </c>
      <c r="G90" s="119" t="s">
        <v>866</v>
      </c>
      <c r="H90" s="119" t="s">
        <v>1409</v>
      </c>
      <c r="I90" s="131">
        <v>1</v>
      </c>
      <c r="J90" s="141" t="s">
        <v>141</v>
      </c>
      <c r="K90" s="122" t="s">
        <v>943</v>
      </c>
      <c r="L90" s="48"/>
      <c r="M90" s="7"/>
      <c r="N90" s="7"/>
      <c r="O90" s="7"/>
      <c r="P90" s="7"/>
      <c r="Q90" s="7"/>
    </row>
    <row r="91" spans="2:17" customFormat="1" hidden="1">
      <c r="B91" s="119" t="s">
        <v>286</v>
      </c>
      <c r="C91" s="130" t="s">
        <v>213</v>
      </c>
      <c r="D91" s="119" t="s">
        <v>214</v>
      </c>
      <c r="E91" s="130" t="s">
        <v>216</v>
      </c>
      <c r="F91" s="119">
        <v>742117</v>
      </c>
      <c r="G91" s="339" t="s">
        <v>863</v>
      </c>
      <c r="H91" s="119" t="s">
        <v>1325</v>
      </c>
      <c r="I91" s="131">
        <v>2</v>
      </c>
      <c r="J91" s="141" t="s">
        <v>195</v>
      </c>
      <c r="K91" s="122" t="s">
        <v>41</v>
      </c>
      <c r="L91" s="48"/>
      <c r="M91" s="7"/>
      <c r="N91" s="7"/>
      <c r="O91" s="7"/>
      <c r="P91" s="7"/>
      <c r="Q91" s="7"/>
    </row>
    <row r="92" spans="2:17" customFormat="1" hidden="1">
      <c r="B92" s="119" t="s">
        <v>287</v>
      </c>
      <c r="C92" s="130" t="s">
        <v>213</v>
      </c>
      <c r="D92" s="119" t="s">
        <v>214</v>
      </c>
      <c r="E92" s="130" t="s">
        <v>206</v>
      </c>
      <c r="F92" s="119">
        <v>722204</v>
      </c>
      <c r="G92" s="119" t="s">
        <v>207</v>
      </c>
      <c r="H92" s="119" t="s">
        <v>1413</v>
      </c>
      <c r="I92" s="131">
        <v>2</v>
      </c>
      <c r="J92" s="141" t="s">
        <v>219</v>
      </c>
      <c r="K92" s="122" t="s">
        <v>852</v>
      </c>
      <c r="L92" s="48"/>
      <c r="M92" s="7"/>
      <c r="N92" s="7"/>
      <c r="O92" s="7"/>
      <c r="P92" s="7"/>
      <c r="Q92" s="7"/>
    </row>
    <row r="93" spans="2:17" customFormat="1" hidden="1">
      <c r="B93" s="119" t="s">
        <v>288</v>
      </c>
      <c r="C93" s="130" t="s">
        <v>213</v>
      </c>
      <c r="D93" s="119" t="s">
        <v>214</v>
      </c>
      <c r="E93" s="283" t="s">
        <v>36</v>
      </c>
      <c r="F93" s="119">
        <v>514101</v>
      </c>
      <c r="G93" s="119" t="s">
        <v>197</v>
      </c>
      <c r="H93" s="119" t="s">
        <v>1409</v>
      </c>
      <c r="I93" s="131">
        <v>12</v>
      </c>
      <c r="J93" s="141" t="s">
        <v>141</v>
      </c>
      <c r="K93" s="122" t="s">
        <v>943</v>
      </c>
      <c r="L93" s="48"/>
      <c r="M93" s="7"/>
      <c r="N93" s="7"/>
      <c r="O93" s="7"/>
      <c r="P93" s="7"/>
      <c r="Q93" s="7"/>
    </row>
    <row r="94" spans="2:17" customFormat="1" hidden="1">
      <c r="B94" s="119" t="s">
        <v>289</v>
      </c>
      <c r="C94" s="130" t="s">
        <v>213</v>
      </c>
      <c r="D94" s="119" t="s">
        <v>214</v>
      </c>
      <c r="E94" s="283" t="s">
        <v>45</v>
      </c>
      <c r="F94" s="119">
        <v>522301</v>
      </c>
      <c r="G94" s="119" t="s">
        <v>200</v>
      </c>
      <c r="H94" s="119" t="s">
        <v>1434</v>
      </c>
      <c r="I94" s="131">
        <v>11</v>
      </c>
      <c r="J94" s="141" t="s">
        <v>141</v>
      </c>
      <c r="K94" s="122" t="s">
        <v>943</v>
      </c>
      <c r="L94" s="48"/>
      <c r="M94" s="7"/>
      <c r="N94" s="7"/>
      <c r="O94" s="7"/>
      <c r="P94" s="7"/>
      <c r="Q94" s="7"/>
    </row>
    <row r="95" spans="2:17" customFormat="1" hidden="1">
      <c r="B95" s="119" t="s">
        <v>290</v>
      </c>
      <c r="C95" s="122" t="s">
        <v>213</v>
      </c>
      <c r="D95" s="120" t="s">
        <v>214</v>
      </c>
      <c r="E95" s="122" t="s">
        <v>103</v>
      </c>
      <c r="F95" s="120">
        <v>722307</v>
      </c>
      <c r="G95" s="120" t="s">
        <v>244</v>
      </c>
      <c r="H95" s="120" t="s">
        <v>1413</v>
      </c>
      <c r="I95" s="137">
        <v>1</v>
      </c>
      <c r="J95" s="141" t="s">
        <v>219</v>
      </c>
      <c r="K95" s="122" t="s">
        <v>852</v>
      </c>
      <c r="L95" s="48"/>
      <c r="M95" s="7"/>
      <c r="N95" s="7"/>
      <c r="O95" s="7"/>
      <c r="P95" s="7"/>
      <c r="Q95" s="7"/>
    </row>
    <row r="96" spans="2:17" customFormat="1" hidden="1">
      <c r="B96" s="119" t="s">
        <v>291</v>
      </c>
      <c r="C96" s="130" t="s">
        <v>213</v>
      </c>
      <c r="D96" s="119" t="s">
        <v>214</v>
      </c>
      <c r="E96" s="130" t="s">
        <v>218</v>
      </c>
      <c r="F96" s="119">
        <v>753402</v>
      </c>
      <c r="G96" s="119" t="s">
        <v>570</v>
      </c>
      <c r="H96" s="119" t="s">
        <v>1434</v>
      </c>
      <c r="I96" s="131">
        <v>15</v>
      </c>
      <c r="J96" s="141" t="s">
        <v>141</v>
      </c>
      <c r="K96" s="122" t="s">
        <v>943</v>
      </c>
      <c r="L96" s="48"/>
      <c r="M96" s="7"/>
      <c r="N96" s="7"/>
      <c r="O96" s="7"/>
      <c r="P96" s="7"/>
      <c r="Q96" s="7"/>
    </row>
    <row r="97" spans="2:17" customFormat="1" hidden="1">
      <c r="B97" s="119" t="s">
        <v>292</v>
      </c>
      <c r="C97" s="130" t="s">
        <v>224</v>
      </c>
      <c r="D97" s="119" t="s">
        <v>225</v>
      </c>
      <c r="E97" s="130" t="s">
        <v>34</v>
      </c>
      <c r="F97" s="119">
        <v>723103</v>
      </c>
      <c r="G97" s="119" t="s">
        <v>201</v>
      </c>
      <c r="H97" s="133" t="s">
        <v>1347</v>
      </c>
      <c r="I97" s="131">
        <v>1</v>
      </c>
      <c r="J97" s="141" t="s">
        <v>229</v>
      </c>
      <c r="K97" s="122" t="s">
        <v>105</v>
      </c>
      <c r="L97" s="49"/>
      <c r="M97" s="7"/>
      <c r="N97" s="7"/>
      <c r="O97" s="7"/>
      <c r="P97" s="7"/>
      <c r="Q97" s="7"/>
    </row>
    <row r="98" spans="2:17" customFormat="1" hidden="1">
      <c r="B98" s="119" t="s">
        <v>293</v>
      </c>
      <c r="C98" s="130" t="s">
        <v>224</v>
      </c>
      <c r="D98" s="119" t="s">
        <v>225</v>
      </c>
      <c r="E98" s="130" t="s">
        <v>34</v>
      </c>
      <c r="F98" s="119">
        <v>723103</v>
      </c>
      <c r="G98" s="119" t="s">
        <v>201</v>
      </c>
      <c r="H98" s="129" t="s">
        <v>1413</v>
      </c>
      <c r="I98" s="131">
        <v>2</v>
      </c>
      <c r="J98" s="141" t="s">
        <v>228</v>
      </c>
      <c r="K98" s="122" t="s">
        <v>104</v>
      </c>
      <c r="L98" s="48"/>
      <c r="M98" s="14"/>
      <c r="N98" s="7"/>
      <c r="O98" s="7"/>
      <c r="P98" s="7"/>
      <c r="Q98" s="7"/>
    </row>
    <row r="99" spans="2:17" customFormat="1" hidden="1">
      <c r="B99" s="119" t="s">
        <v>294</v>
      </c>
      <c r="C99" s="130" t="s">
        <v>224</v>
      </c>
      <c r="D99" s="119" t="s">
        <v>225</v>
      </c>
      <c r="E99" s="283" t="s">
        <v>36</v>
      </c>
      <c r="F99" s="119">
        <v>514101</v>
      </c>
      <c r="G99" s="119" t="s">
        <v>197</v>
      </c>
      <c r="H99" s="295" t="s">
        <v>2260</v>
      </c>
      <c r="I99" s="131">
        <v>1</v>
      </c>
      <c r="J99" s="141" t="s">
        <v>228</v>
      </c>
      <c r="K99" s="122" t="s">
        <v>104</v>
      </c>
      <c r="L99" s="48"/>
      <c r="M99" s="14"/>
      <c r="N99" s="7"/>
      <c r="O99" s="7"/>
      <c r="P99" s="7"/>
      <c r="Q99" s="7"/>
    </row>
    <row r="100" spans="2:17" customFormat="1" hidden="1">
      <c r="B100" s="119" t="s">
        <v>295</v>
      </c>
      <c r="C100" s="130" t="s">
        <v>224</v>
      </c>
      <c r="D100" s="119" t="s">
        <v>225</v>
      </c>
      <c r="E100" s="130" t="s">
        <v>56</v>
      </c>
      <c r="F100" s="119">
        <v>712905</v>
      </c>
      <c r="G100" s="119" t="s">
        <v>202</v>
      </c>
      <c r="H100" s="119" t="s">
        <v>1326</v>
      </c>
      <c r="I100" s="131">
        <v>1</v>
      </c>
      <c r="J100" s="141" t="s">
        <v>195</v>
      </c>
      <c r="K100" s="122" t="s">
        <v>41</v>
      </c>
      <c r="L100" s="48"/>
      <c r="M100" s="7"/>
      <c r="N100" s="7"/>
      <c r="O100" s="7"/>
      <c r="P100" s="7"/>
      <c r="Q100" s="7"/>
    </row>
    <row r="101" spans="2:17" customFormat="1" hidden="1">
      <c r="B101" s="119" t="s">
        <v>296</v>
      </c>
      <c r="C101" s="130" t="s">
        <v>224</v>
      </c>
      <c r="D101" s="119" t="s">
        <v>225</v>
      </c>
      <c r="E101" s="130" t="s">
        <v>103</v>
      </c>
      <c r="F101" s="119">
        <v>722307</v>
      </c>
      <c r="G101" s="119" t="s">
        <v>244</v>
      </c>
      <c r="H101" s="295" t="s">
        <v>1405</v>
      </c>
      <c r="I101" s="365">
        <v>0</v>
      </c>
      <c r="J101" s="141" t="s">
        <v>228</v>
      </c>
      <c r="K101" s="122"/>
      <c r="L101" s="48"/>
      <c r="M101" s="14"/>
      <c r="N101" s="7"/>
      <c r="O101" s="7"/>
      <c r="P101" s="7"/>
      <c r="Q101" s="7"/>
    </row>
    <row r="102" spans="2:17" customFormat="1" hidden="1">
      <c r="B102" s="119" t="s">
        <v>297</v>
      </c>
      <c r="C102" s="130" t="s">
        <v>224</v>
      </c>
      <c r="D102" s="119" t="s">
        <v>225</v>
      </c>
      <c r="E102" s="130" t="s">
        <v>44</v>
      </c>
      <c r="F102" s="119">
        <v>514101</v>
      </c>
      <c r="G102" s="119" t="s">
        <v>203</v>
      </c>
      <c r="H102" s="295" t="s">
        <v>1343</v>
      </c>
      <c r="I102" s="131">
        <v>1</v>
      </c>
      <c r="J102" s="141" t="s">
        <v>228</v>
      </c>
      <c r="K102" s="122" t="s">
        <v>104</v>
      </c>
      <c r="L102" s="48"/>
      <c r="M102" s="14"/>
      <c r="N102" s="7"/>
      <c r="O102" s="7"/>
      <c r="P102" s="7"/>
      <c r="Q102" s="7"/>
    </row>
    <row r="103" spans="2:17" customFormat="1" hidden="1">
      <c r="B103" s="119" t="s">
        <v>298</v>
      </c>
      <c r="C103" s="130" t="s">
        <v>224</v>
      </c>
      <c r="D103" s="119" t="s">
        <v>225</v>
      </c>
      <c r="E103" s="130" t="s">
        <v>39</v>
      </c>
      <c r="F103" s="119">
        <v>711204</v>
      </c>
      <c r="G103" s="119" t="s">
        <v>196</v>
      </c>
      <c r="H103" s="119" t="s">
        <v>2394</v>
      </c>
      <c r="I103" s="131">
        <v>1</v>
      </c>
      <c r="J103" s="141" t="s">
        <v>229</v>
      </c>
      <c r="K103" s="122" t="s">
        <v>105</v>
      </c>
      <c r="L103" s="49"/>
      <c r="M103" s="7"/>
      <c r="N103" s="7"/>
      <c r="O103" s="7"/>
      <c r="P103" s="7"/>
      <c r="Q103" s="7"/>
    </row>
    <row r="104" spans="2:17" customFormat="1" hidden="1">
      <c r="B104" s="119" t="s">
        <v>299</v>
      </c>
      <c r="C104" s="130" t="s">
        <v>224</v>
      </c>
      <c r="D104" s="119" t="s">
        <v>225</v>
      </c>
      <c r="E104" s="283" t="s">
        <v>45</v>
      </c>
      <c r="F104" s="119">
        <v>522301</v>
      </c>
      <c r="G104" s="119" t="s">
        <v>200</v>
      </c>
      <c r="H104" s="295" t="s">
        <v>1345</v>
      </c>
      <c r="I104" s="131">
        <v>3</v>
      </c>
      <c r="J104" s="141" t="s">
        <v>228</v>
      </c>
      <c r="K104" s="122" t="s">
        <v>104</v>
      </c>
      <c r="L104" s="48"/>
      <c r="M104" s="14"/>
      <c r="N104" s="7"/>
      <c r="O104" s="7"/>
      <c r="P104" s="7"/>
      <c r="Q104" s="7"/>
    </row>
    <row r="105" spans="2:17" customFormat="1" hidden="1">
      <c r="B105" s="119" t="s">
        <v>300</v>
      </c>
      <c r="C105" s="130" t="s">
        <v>230</v>
      </c>
      <c r="D105" s="119" t="s">
        <v>231</v>
      </c>
      <c r="E105" s="130" t="s">
        <v>53</v>
      </c>
      <c r="F105" s="119">
        <v>741203</v>
      </c>
      <c r="G105" s="119" t="s">
        <v>232</v>
      </c>
      <c r="H105" s="119" t="s">
        <v>1344</v>
      </c>
      <c r="I105" s="319">
        <v>0</v>
      </c>
      <c r="J105" s="141" t="s">
        <v>229</v>
      </c>
      <c r="K105" s="221" t="s">
        <v>105</v>
      </c>
      <c r="L105" s="48"/>
      <c r="M105" s="7"/>
      <c r="N105" s="7"/>
      <c r="O105" s="7"/>
      <c r="P105" s="7"/>
      <c r="Q105" s="7"/>
    </row>
    <row r="106" spans="2:17" customFormat="1" hidden="1">
      <c r="B106" s="119" t="s">
        <v>301</v>
      </c>
      <c r="C106" s="130" t="s">
        <v>230</v>
      </c>
      <c r="D106" s="119" t="s">
        <v>231</v>
      </c>
      <c r="E106" s="130" t="s">
        <v>38</v>
      </c>
      <c r="F106" s="119">
        <v>741103</v>
      </c>
      <c r="G106" s="119" t="s">
        <v>205</v>
      </c>
      <c r="H106" s="119" t="s">
        <v>1343</v>
      </c>
      <c r="I106" s="131">
        <v>1</v>
      </c>
      <c r="J106" s="141" t="s">
        <v>229</v>
      </c>
      <c r="K106" s="122" t="s">
        <v>105</v>
      </c>
      <c r="L106" s="55"/>
      <c r="M106" s="7"/>
      <c r="N106" s="7"/>
      <c r="O106" s="7"/>
      <c r="P106" s="7"/>
      <c r="Q106" s="7"/>
    </row>
    <row r="107" spans="2:17" hidden="1">
      <c r="B107" s="119" t="s">
        <v>302</v>
      </c>
      <c r="C107" s="283" t="s">
        <v>230</v>
      </c>
      <c r="D107" s="119" t="s">
        <v>231</v>
      </c>
      <c r="E107" s="130" t="s">
        <v>44</v>
      </c>
      <c r="F107" s="119">
        <v>512001</v>
      </c>
      <c r="G107" s="119" t="s">
        <v>203</v>
      </c>
      <c r="H107" s="412" t="s">
        <v>1420</v>
      </c>
      <c r="I107" s="131">
        <v>1</v>
      </c>
      <c r="J107" s="280" t="s">
        <v>116</v>
      </c>
      <c r="K107" s="207" t="s">
        <v>942</v>
      </c>
      <c r="L107" s="303"/>
      <c r="M107" s="10"/>
      <c r="N107" s="10"/>
      <c r="O107" s="10"/>
      <c r="P107" s="10"/>
      <c r="Q107" s="281"/>
    </row>
    <row r="108" spans="2:17" customFormat="1" hidden="1">
      <c r="B108" s="119" t="s">
        <v>303</v>
      </c>
      <c r="C108" s="130" t="s">
        <v>230</v>
      </c>
      <c r="D108" s="119" t="s">
        <v>231</v>
      </c>
      <c r="E108" s="130" t="s">
        <v>34</v>
      </c>
      <c r="F108" s="119">
        <v>723103</v>
      </c>
      <c r="G108" s="119" t="s">
        <v>201</v>
      </c>
      <c r="H108" s="133" t="s">
        <v>1347</v>
      </c>
      <c r="I108" s="131">
        <v>1</v>
      </c>
      <c r="J108" s="141" t="s">
        <v>229</v>
      </c>
      <c r="K108" s="122" t="s">
        <v>105</v>
      </c>
      <c r="L108" s="48"/>
      <c r="M108" s="7"/>
      <c r="N108" s="7"/>
      <c r="O108" s="7"/>
      <c r="P108" s="7"/>
      <c r="Q108" s="7"/>
    </row>
    <row r="109" spans="2:17" ht="43.5" hidden="1" customHeight="1">
      <c r="B109" s="119" t="s">
        <v>304</v>
      </c>
      <c r="C109" s="283" t="s">
        <v>230</v>
      </c>
      <c r="D109" s="119" t="s">
        <v>231</v>
      </c>
      <c r="E109" s="283" t="s">
        <v>45</v>
      </c>
      <c r="F109" s="119">
        <v>522301</v>
      </c>
      <c r="G109" s="119" t="s">
        <v>200</v>
      </c>
      <c r="H109" s="132" t="s">
        <v>1433</v>
      </c>
      <c r="I109" s="131">
        <v>7</v>
      </c>
      <c r="J109" s="280" t="s">
        <v>116</v>
      </c>
      <c r="K109" s="207" t="s">
        <v>942</v>
      </c>
      <c r="L109" s="303"/>
      <c r="M109" s="10"/>
      <c r="N109" s="10"/>
      <c r="O109" s="10"/>
      <c r="P109" s="10"/>
      <c r="Q109" s="281"/>
    </row>
    <row r="110" spans="2:17" customFormat="1" ht="15" customHeight="1">
      <c r="B110" s="119" t="s">
        <v>305</v>
      </c>
      <c r="C110" s="130" t="s">
        <v>230</v>
      </c>
      <c r="D110" s="119" t="s">
        <v>231</v>
      </c>
      <c r="E110" s="130" t="s">
        <v>206</v>
      </c>
      <c r="F110" s="119">
        <v>722204</v>
      </c>
      <c r="G110" s="119" t="s">
        <v>207</v>
      </c>
      <c r="H110" s="119" t="s">
        <v>1349</v>
      </c>
      <c r="I110" s="131">
        <v>1</v>
      </c>
      <c r="J110" s="141" t="s">
        <v>61</v>
      </c>
      <c r="K110" s="122" t="s">
        <v>851</v>
      </c>
      <c r="L110" s="48"/>
      <c r="M110" s="7"/>
      <c r="N110" s="7"/>
      <c r="O110" s="7"/>
      <c r="P110" s="7"/>
      <c r="Q110" s="7"/>
    </row>
    <row r="111" spans="2:17" hidden="1">
      <c r="B111" s="119" t="s">
        <v>306</v>
      </c>
      <c r="C111" s="283" t="s">
        <v>230</v>
      </c>
      <c r="D111" s="119" t="s">
        <v>231</v>
      </c>
      <c r="E111" s="283" t="s">
        <v>36</v>
      </c>
      <c r="F111" s="119">
        <v>514101</v>
      </c>
      <c r="G111" s="119" t="s">
        <v>197</v>
      </c>
      <c r="H111" s="119" t="s">
        <v>1427</v>
      </c>
      <c r="I111" s="131">
        <v>4</v>
      </c>
      <c r="J111" s="280" t="s">
        <v>116</v>
      </c>
      <c r="K111" s="207" t="s">
        <v>942</v>
      </c>
      <c r="L111" s="303"/>
      <c r="M111" s="10"/>
      <c r="N111" s="10"/>
      <c r="O111" s="10"/>
      <c r="P111" s="10"/>
      <c r="Q111" s="281"/>
    </row>
    <row r="112" spans="2:17" customFormat="1" hidden="1">
      <c r="B112" s="119" t="s">
        <v>307</v>
      </c>
      <c r="C112" s="130" t="s">
        <v>234</v>
      </c>
      <c r="D112" s="119" t="s">
        <v>235</v>
      </c>
      <c r="E112" s="283" t="s">
        <v>36</v>
      </c>
      <c r="F112" s="5">
        <v>514101</v>
      </c>
      <c r="G112" s="119" t="s">
        <v>197</v>
      </c>
      <c r="H112" s="133" t="s">
        <v>1347</v>
      </c>
      <c r="I112" s="5">
        <v>4</v>
      </c>
      <c r="J112" s="141" t="s">
        <v>229</v>
      </c>
      <c r="K112" s="122" t="s">
        <v>105</v>
      </c>
      <c r="L112" s="49"/>
      <c r="M112" s="7"/>
      <c r="N112" s="7"/>
      <c r="O112" s="7"/>
      <c r="P112" s="7"/>
      <c r="Q112" s="7"/>
    </row>
    <row r="113" spans="2:17" customFormat="1" hidden="1">
      <c r="B113" s="119" t="s">
        <v>308</v>
      </c>
      <c r="C113" s="130" t="s">
        <v>234</v>
      </c>
      <c r="D113" s="119" t="s">
        <v>235</v>
      </c>
      <c r="E113" s="130" t="s">
        <v>52</v>
      </c>
      <c r="F113" s="5">
        <v>721306</v>
      </c>
      <c r="G113" s="119" t="s">
        <v>569</v>
      </c>
      <c r="H113" s="119" t="s">
        <v>1349</v>
      </c>
      <c r="I113" s="5">
        <v>3</v>
      </c>
      <c r="J113" s="141" t="s">
        <v>229</v>
      </c>
      <c r="K113" s="122" t="s">
        <v>105</v>
      </c>
      <c r="L113" s="49"/>
      <c r="M113" s="7"/>
      <c r="N113" s="7"/>
      <c r="O113" s="7"/>
      <c r="P113" s="7"/>
      <c r="Q113" s="7"/>
    </row>
    <row r="114" spans="2:17" customFormat="1" hidden="1">
      <c r="B114" s="119" t="s">
        <v>309</v>
      </c>
      <c r="C114" s="130" t="s">
        <v>234</v>
      </c>
      <c r="D114" s="119" t="s">
        <v>235</v>
      </c>
      <c r="E114" s="130" t="s">
        <v>38</v>
      </c>
      <c r="F114" s="5">
        <v>741103</v>
      </c>
      <c r="G114" s="119" t="s">
        <v>205</v>
      </c>
      <c r="H114" s="119" t="s">
        <v>1343</v>
      </c>
      <c r="I114" s="5">
        <v>2</v>
      </c>
      <c r="J114" s="141" t="s">
        <v>229</v>
      </c>
      <c r="K114" s="122" t="s">
        <v>105</v>
      </c>
      <c r="L114" s="49"/>
      <c r="M114" s="7"/>
      <c r="N114" s="7"/>
      <c r="O114" s="7"/>
      <c r="P114" s="7"/>
      <c r="Q114" s="7"/>
    </row>
    <row r="115" spans="2:17" customFormat="1" hidden="1">
      <c r="B115" s="119" t="s">
        <v>310</v>
      </c>
      <c r="C115" s="130" t="s">
        <v>234</v>
      </c>
      <c r="D115" s="119" t="s">
        <v>235</v>
      </c>
      <c r="E115" s="130" t="s">
        <v>144</v>
      </c>
      <c r="F115" s="5">
        <v>712618</v>
      </c>
      <c r="G115" s="119" t="s">
        <v>199</v>
      </c>
      <c r="H115" s="119" t="s">
        <v>1343</v>
      </c>
      <c r="I115" s="5">
        <v>2</v>
      </c>
      <c r="J115" s="141" t="s">
        <v>229</v>
      </c>
      <c r="K115" s="122" t="s">
        <v>105</v>
      </c>
      <c r="L115" s="49"/>
      <c r="M115" s="7"/>
      <c r="N115" s="7"/>
      <c r="O115" s="7"/>
      <c r="P115" s="7"/>
      <c r="Q115" s="7"/>
    </row>
    <row r="116" spans="2:17" customFormat="1" hidden="1">
      <c r="B116" s="119" t="s">
        <v>311</v>
      </c>
      <c r="C116" s="130" t="s">
        <v>234</v>
      </c>
      <c r="D116" s="119" t="s">
        <v>235</v>
      </c>
      <c r="E116" s="130" t="s">
        <v>44</v>
      </c>
      <c r="F116" s="5">
        <v>512001</v>
      </c>
      <c r="G116" s="119" t="s">
        <v>203</v>
      </c>
      <c r="H116" s="295" t="s">
        <v>1413</v>
      </c>
      <c r="I116" s="5">
        <v>6</v>
      </c>
      <c r="J116" s="141" t="s">
        <v>109</v>
      </c>
      <c r="K116" s="122" t="s">
        <v>237</v>
      </c>
      <c r="L116" s="48"/>
      <c r="M116" s="7"/>
      <c r="N116" s="7"/>
      <c r="O116" s="7"/>
      <c r="P116" s="7"/>
      <c r="Q116" s="7"/>
    </row>
    <row r="117" spans="2:17" customFormat="1">
      <c r="B117" s="119" t="s">
        <v>312</v>
      </c>
      <c r="C117" s="130" t="s">
        <v>234</v>
      </c>
      <c r="D117" s="119" t="s">
        <v>235</v>
      </c>
      <c r="E117" s="130" t="s">
        <v>56</v>
      </c>
      <c r="F117" s="5">
        <v>712905</v>
      </c>
      <c r="G117" s="119" t="s">
        <v>202</v>
      </c>
      <c r="H117" s="119" t="s">
        <v>1348</v>
      </c>
      <c r="I117" s="5">
        <v>4</v>
      </c>
      <c r="J117" s="141" t="s">
        <v>61</v>
      </c>
      <c r="K117" s="121" t="s">
        <v>851</v>
      </c>
      <c r="L117" s="56"/>
      <c r="M117" s="7"/>
      <c r="N117" s="7"/>
      <c r="O117" s="7"/>
      <c r="P117" s="7"/>
      <c r="Q117" s="7"/>
    </row>
    <row r="118" spans="2:17" customFormat="1" hidden="1">
      <c r="B118" s="119" t="s">
        <v>313</v>
      </c>
      <c r="C118" s="130" t="s">
        <v>234</v>
      </c>
      <c r="D118" s="119" t="s">
        <v>235</v>
      </c>
      <c r="E118" s="283" t="s">
        <v>45</v>
      </c>
      <c r="F118" s="5">
        <v>522301</v>
      </c>
      <c r="G118" s="119" t="s">
        <v>200</v>
      </c>
      <c r="H118" s="295" t="s">
        <v>1413</v>
      </c>
      <c r="I118" s="145">
        <v>6</v>
      </c>
      <c r="J118" s="141" t="s">
        <v>109</v>
      </c>
      <c r="K118" s="122" t="s">
        <v>237</v>
      </c>
      <c r="L118" s="56"/>
      <c r="M118" s="7"/>
      <c r="N118" s="7"/>
      <c r="O118" s="7"/>
      <c r="P118" s="7"/>
      <c r="Q118" s="7"/>
    </row>
    <row r="119" spans="2:17" customFormat="1" hidden="1">
      <c r="B119" s="119" t="s">
        <v>314</v>
      </c>
      <c r="C119" s="130" t="s">
        <v>234</v>
      </c>
      <c r="D119" s="119" t="s">
        <v>235</v>
      </c>
      <c r="E119" s="130" t="s">
        <v>206</v>
      </c>
      <c r="F119" s="5">
        <v>722204</v>
      </c>
      <c r="G119" s="119" t="s">
        <v>207</v>
      </c>
      <c r="H119" s="119" t="s">
        <v>1345</v>
      </c>
      <c r="I119" s="145">
        <v>3</v>
      </c>
      <c r="J119" s="141" t="s">
        <v>229</v>
      </c>
      <c r="K119" s="122" t="s">
        <v>105</v>
      </c>
      <c r="L119" s="49"/>
      <c r="M119" s="7"/>
      <c r="N119" s="7"/>
      <c r="O119" s="7"/>
      <c r="P119" s="7"/>
      <c r="Q119" s="7"/>
    </row>
    <row r="120" spans="2:17" customFormat="1" hidden="1">
      <c r="B120" s="119" t="s">
        <v>315</v>
      </c>
      <c r="C120" s="130" t="s">
        <v>234</v>
      </c>
      <c r="D120" s="119" t="s">
        <v>235</v>
      </c>
      <c r="E120" s="144" t="s">
        <v>58</v>
      </c>
      <c r="F120" s="5">
        <v>753402</v>
      </c>
      <c r="G120" s="119" t="s">
        <v>570</v>
      </c>
      <c r="H120" s="119" t="s">
        <v>1328</v>
      </c>
      <c r="I120" s="145">
        <v>1</v>
      </c>
      <c r="J120" s="141" t="s">
        <v>195</v>
      </c>
      <c r="K120" s="122" t="s">
        <v>41</v>
      </c>
      <c r="L120" s="48"/>
      <c r="M120" s="7"/>
      <c r="N120" s="7"/>
      <c r="O120" s="7"/>
      <c r="P120" s="7"/>
      <c r="Q120" s="7"/>
    </row>
    <row r="121" spans="2:17" customFormat="1" hidden="1">
      <c r="B121" s="119" t="s">
        <v>316</v>
      </c>
      <c r="C121" s="130" t="s">
        <v>238</v>
      </c>
      <c r="D121" s="119" t="s">
        <v>108</v>
      </c>
      <c r="E121" s="130" t="s">
        <v>38</v>
      </c>
      <c r="F121" s="119">
        <v>741103</v>
      </c>
      <c r="G121" s="119" t="s">
        <v>205</v>
      </c>
      <c r="H121" s="119" t="s">
        <v>1409</v>
      </c>
      <c r="I121" s="131">
        <v>11</v>
      </c>
      <c r="J121" s="141" t="s">
        <v>141</v>
      </c>
      <c r="K121" s="122" t="s">
        <v>943</v>
      </c>
      <c r="L121" s="48"/>
      <c r="M121" s="7"/>
      <c r="N121" s="7"/>
      <c r="O121" s="7"/>
      <c r="P121" s="7"/>
      <c r="Q121" s="7"/>
    </row>
    <row r="122" spans="2:17" customFormat="1" hidden="1">
      <c r="B122" s="119" t="s">
        <v>317</v>
      </c>
      <c r="C122" s="130" t="s">
        <v>238</v>
      </c>
      <c r="D122" s="119" t="s">
        <v>108</v>
      </c>
      <c r="E122" s="283" t="s">
        <v>36</v>
      </c>
      <c r="F122" s="119">
        <v>514101</v>
      </c>
      <c r="G122" s="119" t="s">
        <v>197</v>
      </c>
      <c r="H122" s="119" t="s">
        <v>1409</v>
      </c>
      <c r="I122" s="131">
        <v>9</v>
      </c>
      <c r="J122" s="141" t="s">
        <v>141</v>
      </c>
      <c r="K122" s="122" t="s">
        <v>943</v>
      </c>
      <c r="L122" s="48"/>
      <c r="M122" s="7"/>
      <c r="N122" s="7"/>
      <c r="O122" s="7"/>
      <c r="P122" s="7"/>
      <c r="Q122" s="7"/>
    </row>
    <row r="123" spans="2:17" customFormat="1" hidden="1">
      <c r="B123" s="119" t="s">
        <v>318</v>
      </c>
      <c r="C123" s="130" t="s">
        <v>238</v>
      </c>
      <c r="D123" s="119" t="s">
        <v>108</v>
      </c>
      <c r="E123" s="130" t="s">
        <v>44</v>
      </c>
      <c r="F123" s="119">
        <v>512001</v>
      </c>
      <c r="G123" s="119" t="s">
        <v>203</v>
      </c>
      <c r="H123" s="119" t="s">
        <v>1413</v>
      </c>
      <c r="I123" s="131">
        <v>3</v>
      </c>
      <c r="J123" s="141" t="s">
        <v>109</v>
      </c>
      <c r="K123" s="122" t="s">
        <v>237</v>
      </c>
      <c r="L123" s="48"/>
      <c r="M123" s="7"/>
      <c r="N123" s="7"/>
      <c r="O123" s="7"/>
      <c r="P123" s="7"/>
      <c r="Q123" s="7"/>
    </row>
    <row r="124" spans="2:17" customFormat="1" hidden="1">
      <c r="B124" s="119" t="s">
        <v>319</v>
      </c>
      <c r="C124" s="130" t="s">
        <v>238</v>
      </c>
      <c r="D124" s="119" t="s">
        <v>108</v>
      </c>
      <c r="E124" s="130" t="s">
        <v>34</v>
      </c>
      <c r="F124" s="119">
        <v>723103</v>
      </c>
      <c r="G124" s="119" t="s">
        <v>201</v>
      </c>
      <c r="H124" s="119" t="s">
        <v>1343</v>
      </c>
      <c r="I124" s="131">
        <v>3</v>
      </c>
      <c r="J124" s="141" t="s">
        <v>109</v>
      </c>
      <c r="K124" s="122" t="s">
        <v>237</v>
      </c>
      <c r="L124" s="48"/>
      <c r="M124" s="7"/>
      <c r="N124" s="7"/>
      <c r="O124" s="7"/>
      <c r="P124" s="7"/>
      <c r="Q124" s="7"/>
    </row>
    <row r="125" spans="2:17" customFormat="1">
      <c r="B125" s="119" t="s">
        <v>320</v>
      </c>
      <c r="C125" s="130" t="s">
        <v>238</v>
      </c>
      <c r="D125" s="119" t="s">
        <v>108</v>
      </c>
      <c r="E125" s="130" t="s">
        <v>241</v>
      </c>
      <c r="F125" s="119">
        <v>834103</v>
      </c>
      <c r="G125" s="119" t="s">
        <v>242</v>
      </c>
      <c r="H125" s="119" t="s">
        <v>1344</v>
      </c>
      <c r="I125" s="131">
        <v>2</v>
      </c>
      <c r="J125" s="141" t="s">
        <v>61</v>
      </c>
      <c r="K125" s="122" t="s">
        <v>851</v>
      </c>
      <c r="L125" s="48"/>
      <c r="M125" s="7"/>
      <c r="N125" s="7"/>
      <c r="O125" s="7"/>
      <c r="P125" s="7"/>
      <c r="Q125" s="7"/>
    </row>
    <row r="126" spans="2:17" customFormat="1">
      <c r="B126" s="119" t="s">
        <v>321</v>
      </c>
      <c r="C126" s="130" t="s">
        <v>238</v>
      </c>
      <c r="D126" s="119" t="s">
        <v>108</v>
      </c>
      <c r="E126" s="130" t="s">
        <v>144</v>
      </c>
      <c r="F126" s="119">
        <v>712618</v>
      </c>
      <c r="G126" s="119" t="s">
        <v>199</v>
      </c>
      <c r="H126" s="119" t="s">
        <v>2394</v>
      </c>
      <c r="I126" s="131">
        <v>3</v>
      </c>
      <c r="J126" s="141" t="s">
        <v>61</v>
      </c>
      <c r="K126" s="122" t="s">
        <v>851</v>
      </c>
      <c r="L126" s="48"/>
      <c r="M126" s="7"/>
      <c r="N126" s="7"/>
      <c r="O126" s="7"/>
      <c r="P126" s="7"/>
      <c r="Q126" s="7"/>
    </row>
    <row r="127" spans="2:17" customFormat="1" hidden="1">
      <c r="B127" s="119" t="s">
        <v>322</v>
      </c>
      <c r="C127" s="130" t="s">
        <v>238</v>
      </c>
      <c r="D127" s="119" t="s">
        <v>108</v>
      </c>
      <c r="E127" s="130" t="s">
        <v>103</v>
      </c>
      <c r="F127" s="119">
        <v>722307</v>
      </c>
      <c r="G127" s="119" t="s">
        <v>244</v>
      </c>
      <c r="H127" s="119" t="s">
        <v>1344</v>
      </c>
      <c r="I127" s="131">
        <v>2</v>
      </c>
      <c r="J127" s="141" t="s">
        <v>229</v>
      </c>
      <c r="K127" s="122" t="s">
        <v>105</v>
      </c>
      <c r="L127" s="49"/>
      <c r="M127" s="7"/>
      <c r="N127" s="7"/>
      <c r="O127" s="7"/>
      <c r="P127" s="7"/>
      <c r="Q127" s="7"/>
    </row>
    <row r="128" spans="2:17" customFormat="1" hidden="1">
      <c r="B128" s="119" t="s">
        <v>323</v>
      </c>
      <c r="C128" s="130" t="s">
        <v>238</v>
      </c>
      <c r="D128" s="119" t="s">
        <v>108</v>
      </c>
      <c r="E128" s="130" t="s">
        <v>245</v>
      </c>
      <c r="F128" s="119">
        <v>911205</v>
      </c>
      <c r="G128" s="119" t="s">
        <v>246</v>
      </c>
      <c r="H128" s="119" t="s">
        <v>1326</v>
      </c>
      <c r="I128" s="131">
        <v>1</v>
      </c>
      <c r="J128" s="141" t="s">
        <v>195</v>
      </c>
      <c r="K128" s="122" t="s">
        <v>41</v>
      </c>
      <c r="L128" s="48"/>
      <c r="M128" s="7"/>
      <c r="N128" s="7"/>
      <c r="O128" s="7"/>
      <c r="P128" s="7"/>
      <c r="Q128" s="7"/>
    </row>
    <row r="129" spans="2:17" customFormat="1" hidden="1">
      <c r="B129" s="119" t="s">
        <v>324</v>
      </c>
      <c r="C129" s="130" t="s">
        <v>238</v>
      </c>
      <c r="D129" s="119" t="s">
        <v>108</v>
      </c>
      <c r="E129" s="130" t="s">
        <v>91</v>
      </c>
      <c r="F129" s="119">
        <v>752205</v>
      </c>
      <c r="G129" s="119" t="s">
        <v>204</v>
      </c>
      <c r="H129" s="119" t="s">
        <v>1420</v>
      </c>
      <c r="I129" s="131">
        <v>4</v>
      </c>
      <c r="J129" s="141" t="s">
        <v>109</v>
      </c>
      <c r="K129" s="122" t="s">
        <v>237</v>
      </c>
      <c r="L129" s="48"/>
      <c r="M129" s="7"/>
      <c r="N129" s="7"/>
      <c r="O129" s="7"/>
      <c r="P129" s="7"/>
      <c r="Q129" s="7"/>
    </row>
    <row r="130" spans="2:17" customFormat="1" hidden="1">
      <c r="B130" s="119" t="s">
        <v>325</v>
      </c>
      <c r="C130" s="130" t="s">
        <v>238</v>
      </c>
      <c r="D130" s="119" t="s">
        <v>108</v>
      </c>
      <c r="E130" s="130" t="s">
        <v>206</v>
      </c>
      <c r="F130" s="119">
        <v>722204</v>
      </c>
      <c r="G130" s="119" t="s">
        <v>207</v>
      </c>
      <c r="H130" s="119" t="s">
        <v>1411</v>
      </c>
      <c r="I130" s="131">
        <v>8</v>
      </c>
      <c r="J130" s="141" t="s">
        <v>109</v>
      </c>
      <c r="K130" s="122" t="s">
        <v>237</v>
      </c>
      <c r="L130" s="48"/>
      <c r="M130" s="7"/>
      <c r="N130" s="7"/>
      <c r="O130" s="7"/>
      <c r="P130" s="7"/>
      <c r="Q130" s="7"/>
    </row>
    <row r="131" spans="2:17" hidden="1">
      <c r="B131" s="119" t="s">
        <v>326</v>
      </c>
      <c r="C131" s="283" t="s">
        <v>250</v>
      </c>
      <c r="D131" s="119" t="s">
        <v>251</v>
      </c>
      <c r="E131" s="283" t="s">
        <v>36</v>
      </c>
      <c r="F131" s="119">
        <v>514101</v>
      </c>
      <c r="G131" s="119" t="s">
        <v>197</v>
      </c>
      <c r="H131" s="310" t="s">
        <v>1420</v>
      </c>
      <c r="I131" s="131">
        <v>3</v>
      </c>
      <c r="J131" s="280" t="s">
        <v>116</v>
      </c>
      <c r="K131" s="207" t="s">
        <v>942</v>
      </c>
      <c r="L131" s="314"/>
      <c r="M131" s="10"/>
      <c r="N131" s="10"/>
      <c r="O131" s="10"/>
      <c r="P131" s="10"/>
      <c r="Q131" s="281"/>
    </row>
    <row r="132" spans="2:17" customFormat="1" hidden="1">
      <c r="B132" s="119" t="s">
        <v>327</v>
      </c>
      <c r="C132" s="130" t="s">
        <v>250</v>
      </c>
      <c r="D132" s="119" t="s">
        <v>251</v>
      </c>
      <c r="E132" s="130" t="s">
        <v>103</v>
      </c>
      <c r="F132" s="119">
        <v>722307</v>
      </c>
      <c r="G132" s="119" t="s">
        <v>244</v>
      </c>
      <c r="H132" s="119" t="s">
        <v>1344</v>
      </c>
      <c r="I132" s="131">
        <v>2</v>
      </c>
      <c r="J132" s="141" t="s">
        <v>229</v>
      </c>
      <c r="K132" s="122" t="s">
        <v>105</v>
      </c>
      <c r="L132" s="54"/>
      <c r="M132" s="7"/>
      <c r="N132" s="7"/>
      <c r="O132" s="7"/>
      <c r="P132" s="7"/>
      <c r="Q132" s="7"/>
    </row>
    <row r="133" spans="2:17" hidden="1">
      <c r="B133" s="119" t="s">
        <v>328</v>
      </c>
      <c r="C133" s="283" t="s">
        <v>250</v>
      </c>
      <c r="D133" s="119" t="s">
        <v>251</v>
      </c>
      <c r="E133" s="130" t="s">
        <v>44</v>
      </c>
      <c r="F133" s="119">
        <v>512001</v>
      </c>
      <c r="G133" s="119" t="s">
        <v>203</v>
      </c>
      <c r="H133" s="119" t="s">
        <v>1342</v>
      </c>
      <c r="I133" s="131">
        <v>1</v>
      </c>
      <c r="J133" s="280" t="s">
        <v>116</v>
      </c>
      <c r="K133" s="207" t="s">
        <v>942</v>
      </c>
      <c r="L133" s="314"/>
      <c r="M133" s="10"/>
      <c r="N133" s="10"/>
      <c r="O133" s="10"/>
      <c r="P133" s="10"/>
      <c r="Q133" s="10"/>
    </row>
    <row r="134" spans="2:17" hidden="1">
      <c r="B134" s="119" t="s">
        <v>329</v>
      </c>
      <c r="C134" s="283" t="s">
        <v>250</v>
      </c>
      <c r="D134" s="119" t="s">
        <v>251</v>
      </c>
      <c r="E134" s="283" t="s">
        <v>45</v>
      </c>
      <c r="F134" s="119">
        <v>522301</v>
      </c>
      <c r="G134" s="119" t="s">
        <v>200</v>
      </c>
      <c r="H134" s="119" t="s">
        <v>1342</v>
      </c>
      <c r="I134" s="131">
        <v>4</v>
      </c>
      <c r="J134" s="280" t="s">
        <v>116</v>
      </c>
      <c r="K134" s="207" t="s">
        <v>942</v>
      </c>
      <c r="L134" s="314"/>
      <c r="M134" s="10"/>
      <c r="N134" s="10"/>
      <c r="O134" s="10"/>
      <c r="P134" s="10"/>
      <c r="Q134" s="10"/>
    </row>
    <row r="135" spans="2:17" customFormat="1" hidden="1">
      <c r="B135" s="119" t="s">
        <v>330</v>
      </c>
      <c r="C135" s="130" t="s">
        <v>250</v>
      </c>
      <c r="D135" s="119" t="s">
        <v>251</v>
      </c>
      <c r="E135" s="130" t="s">
        <v>34</v>
      </c>
      <c r="F135" s="119">
        <v>723103</v>
      </c>
      <c r="G135" s="119" t="s">
        <v>201</v>
      </c>
      <c r="H135" s="133" t="s">
        <v>1347</v>
      </c>
      <c r="I135" s="131">
        <v>1</v>
      </c>
      <c r="J135" s="141" t="s">
        <v>229</v>
      </c>
      <c r="K135" s="122" t="s">
        <v>105</v>
      </c>
      <c r="L135" s="54"/>
      <c r="M135" s="7"/>
      <c r="N135" s="7"/>
      <c r="O135" s="7"/>
      <c r="P135" s="7"/>
      <c r="Q135" s="7"/>
    </row>
    <row r="136" spans="2:17" customFormat="1" hidden="1">
      <c r="B136" s="119" t="s">
        <v>331</v>
      </c>
      <c r="C136" s="130" t="s">
        <v>250</v>
      </c>
      <c r="D136" s="119" t="s">
        <v>251</v>
      </c>
      <c r="E136" s="130" t="s">
        <v>52</v>
      </c>
      <c r="F136" s="119">
        <v>721306</v>
      </c>
      <c r="G136" s="119" t="s">
        <v>569</v>
      </c>
      <c r="H136" s="119" t="s">
        <v>1349</v>
      </c>
      <c r="I136" s="131">
        <v>1</v>
      </c>
      <c r="J136" s="141" t="s">
        <v>229</v>
      </c>
      <c r="K136" s="122" t="s">
        <v>105</v>
      </c>
      <c r="L136" s="49"/>
      <c r="M136" s="7"/>
      <c r="N136" s="7"/>
      <c r="O136" s="7"/>
      <c r="P136" s="7"/>
      <c r="Q136" s="7"/>
    </row>
    <row r="137" spans="2:17" customFormat="1">
      <c r="B137" s="119" t="s">
        <v>332</v>
      </c>
      <c r="C137" s="130" t="s">
        <v>250</v>
      </c>
      <c r="D137" s="119" t="s">
        <v>251</v>
      </c>
      <c r="E137" s="130" t="s">
        <v>239</v>
      </c>
      <c r="F137" s="119">
        <v>741201</v>
      </c>
      <c r="G137" s="119" t="s">
        <v>90</v>
      </c>
      <c r="H137" s="119" t="s">
        <v>1348</v>
      </c>
      <c r="I137" s="131">
        <v>1</v>
      </c>
      <c r="J137" s="141" t="s">
        <v>61</v>
      </c>
      <c r="K137" s="121" t="s">
        <v>851</v>
      </c>
      <c r="L137" s="50"/>
      <c r="M137" s="7"/>
      <c r="N137" s="7"/>
      <c r="O137" s="7"/>
      <c r="P137" s="7"/>
      <c r="Q137" s="7"/>
    </row>
    <row r="138" spans="2:17" customFormat="1" hidden="1">
      <c r="B138" s="119" t="s">
        <v>333</v>
      </c>
      <c r="C138" s="130" t="s">
        <v>250</v>
      </c>
      <c r="D138" s="119" t="s">
        <v>251</v>
      </c>
      <c r="E138" s="130" t="s">
        <v>206</v>
      </c>
      <c r="F138" s="119">
        <v>722204</v>
      </c>
      <c r="G138" s="119" t="s">
        <v>207</v>
      </c>
      <c r="H138" s="119" t="s">
        <v>1345</v>
      </c>
      <c r="I138" s="131">
        <v>1</v>
      </c>
      <c r="J138" s="141" t="s">
        <v>229</v>
      </c>
      <c r="K138" s="122" t="s">
        <v>105</v>
      </c>
      <c r="L138" s="54"/>
      <c r="M138" s="7"/>
      <c r="N138" s="7"/>
      <c r="O138" s="7"/>
      <c r="P138" s="7"/>
      <c r="Q138" s="7"/>
    </row>
    <row r="139" spans="2:17" customFormat="1" hidden="1">
      <c r="B139" s="119" t="s">
        <v>334</v>
      </c>
      <c r="C139" s="130" t="s">
        <v>255</v>
      </c>
      <c r="D139" s="119" t="s">
        <v>256</v>
      </c>
      <c r="E139" s="130" t="s">
        <v>52</v>
      </c>
      <c r="F139" s="119">
        <v>721306</v>
      </c>
      <c r="G139" s="119" t="s">
        <v>569</v>
      </c>
      <c r="H139" s="119" t="s">
        <v>1349</v>
      </c>
      <c r="I139" s="131">
        <v>1</v>
      </c>
      <c r="J139" s="141" t="s">
        <v>229</v>
      </c>
      <c r="K139" s="122" t="s">
        <v>105</v>
      </c>
      <c r="L139" s="49"/>
      <c r="M139" s="7"/>
      <c r="N139" s="7"/>
      <c r="O139" s="7"/>
      <c r="P139" s="7"/>
      <c r="Q139" s="7"/>
    </row>
    <row r="140" spans="2:17" customFormat="1" hidden="1">
      <c r="B140" s="119" t="s">
        <v>335</v>
      </c>
      <c r="C140" s="130" t="s">
        <v>255</v>
      </c>
      <c r="D140" s="119" t="s">
        <v>256</v>
      </c>
      <c r="E140" s="130" t="s">
        <v>37</v>
      </c>
      <c r="F140" s="119">
        <v>751201</v>
      </c>
      <c r="G140" s="119" t="s">
        <v>866</v>
      </c>
      <c r="H140" s="119" t="s">
        <v>1345</v>
      </c>
      <c r="I140" s="131">
        <v>2</v>
      </c>
      <c r="J140" s="141" t="s">
        <v>229</v>
      </c>
      <c r="K140" s="122" t="s">
        <v>105</v>
      </c>
      <c r="L140" s="49"/>
      <c r="M140" s="7"/>
      <c r="N140" s="7"/>
      <c r="O140" s="7"/>
      <c r="P140" s="7"/>
      <c r="Q140" s="7"/>
    </row>
    <row r="141" spans="2:17" customFormat="1" hidden="1">
      <c r="B141" s="119" t="s">
        <v>336</v>
      </c>
      <c r="C141" s="130" t="s">
        <v>255</v>
      </c>
      <c r="D141" s="119" t="s">
        <v>256</v>
      </c>
      <c r="E141" s="130" t="s">
        <v>38</v>
      </c>
      <c r="F141" s="119">
        <v>741103</v>
      </c>
      <c r="G141" s="119" t="s">
        <v>205</v>
      </c>
      <c r="H141" s="119" t="s">
        <v>1343</v>
      </c>
      <c r="I141" s="131">
        <v>1</v>
      </c>
      <c r="J141" s="141" t="s">
        <v>229</v>
      </c>
      <c r="K141" s="122" t="s">
        <v>105</v>
      </c>
      <c r="L141" s="49"/>
      <c r="M141" s="7"/>
      <c r="N141" s="7"/>
      <c r="O141" s="7"/>
      <c r="P141" s="7"/>
      <c r="Q141" s="7"/>
    </row>
    <row r="142" spans="2:17" customFormat="1" hidden="1">
      <c r="B142" s="119" t="s">
        <v>337</v>
      </c>
      <c r="C142" s="130" t="s">
        <v>255</v>
      </c>
      <c r="D142" s="119" t="s">
        <v>256</v>
      </c>
      <c r="E142" s="283" t="s">
        <v>36</v>
      </c>
      <c r="F142" s="119">
        <v>514101</v>
      </c>
      <c r="G142" s="119" t="s">
        <v>197</v>
      </c>
      <c r="H142" s="133" t="s">
        <v>1347</v>
      </c>
      <c r="I142" s="131">
        <v>14</v>
      </c>
      <c r="J142" s="141" t="s">
        <v>229</v>
      </c>
      <c r="K142" s="122" t="s">
        <v>105</v>
      </c>
      <c r="L142" s="49"/>
      <c r="M142" s="7"/>
      <c r="N142" s="7"/>
      <c r="O142" s="7"/>
      <c r="P142" s="7"/>
      <c r="Q142" s="7"/>
    </row>
    <row r="143" spans="2:17" customFormat="1" hidden="1">
      <c r="B143" s="119" t="s">
        <v>338</v>
      </c>
      <c r="C143" s="130" t="s">
        <v>255</v>
      </c>
      <c r="D143" s="119" t="s">
        <v>256</v>
      </c>
      <c r="E143" s="130" t="s">
        <v>44</v>
      </c>
      <c r="F143" s="119">
        <v>512001</v>
      </c>
      <c r="G143" s="119" t="s">
        <v>203</v>
      </c>
      <c r="H143" s="119" t="s">
        <v>1345</v>
      </c>
      <c r="I143" s="131">
        <v>3</v>
      </c>
      <c r="J143" s="141" t="s">
        <v>229</v>
      </c>
      <c r="K143" s="122" t="s">
        <v>105</v>
      </c>
      <c r="L143" s="49"/>
      <c r="M143" s="7"/>
      <c r="N143" s="7"/>
      <c r="O143" s="7"/>
      <c r="P143" s="7"/>
      <c r="Q143" s="7"/>
    </row>
    <row r="144" spans="2:17" customFormat="1" hidden="1">
      <c r="B144" s="119" t="s">
        <v>339</v>
      </c>
      <c r="C144" s="130" t="s">
        <v>255</v>
      </c>
      <c r="D144" s="119" t="s">
        <v>256</v>
      </c>
      <c r="E144" s="130" t="s">
        <v>34</v>
      </c>
      <c r="F144" s="119">
        <v>723103</v>
      </c>
      <c r="G144" s="119" t="s">
        <v>201</v>
      </c>
      <c r="H144" s="133" t="s">
        <v>1347</v>
      </c>
      <c r="I144" s="131">
        <v>5</v>
      </c>
      <c r="J144" s="141" t="s">
        <v>229</v>
      </c>
      <c r="K144" s="122" t="s">
        <v>105</v>
      </c>
      <c r="L144" s="49"/>
      <c r="M144" s="7"/>
      <c r="N144" s="7"/>
      <c r="O144" s="7"/>
      <c r="P144" s="7"/>
      <c r="Q144" s="7"/>
    </row>
    <row r="145" spans="2:17" customFormat="1" hidden="1">
      <c r="B145" s="119" t="s">
        <v>340</v>
      </c>
      <c r="C145" s="130" t="s">
        <v>255</v>
      </c>
      <c r="D145" s="119" t="s">
        <v>256</v>
      </c>
      <c r="E145" s="130" t="s">
        <v>144</v>
      </c>
      <c r="F145" s="119">
        <v>712618</v>
      </c>
      <c r="G145" s="119" t="s">
        <v>199</v>
      </c>
      <c r="H145" s="119" t="s">
        <v>1343</v>
      </c>
      <c r="I145" s="319">
        <v>0</v>
      </c>
      <c r="J145" s="141" t="s">
        <v>229</v>
      </c>
      <c r="K145" s="122"/>
      <c r="L145" s="49"/>
      <c r="M145" s="7"/>
      <c r="N145" s="7"/>
      <c r="O145" s="7"/>
      <c r="P145" s="7"/>
      <c r="Q145" s="7"/>
    </row>
    <row r="146" spans="2:17" customFormat="1" hidden="1">
      <c r="B146" s="119" t="s">
        <v>341</v>
      </c>
      <c r="C146" s="130" t="s">
        <v>255</v>
      </c>
      <c r="D146" s="119" t="s">
        <v>256</v>
      </c>
      <c r="E146" s="130" t="s">
        <v>56</v>
      </c>
      <c r="F146" s="119">
        <v>712905</v>
      </c>
      <c r="G146" s="119" t="s">
        <v>202</v>
      </c>
      <c r="H146" s="119" t="s">
        <v>1326</v>
      </c>
      <c r="I146" s="131">
        <v>1</v>
      </c>
      <c r="J146" s="141" t="s">
        <v>195</v>
      </c>
      <c r="K146" s="121" t="s">
        <v>41</v>
      </c>
      <c r="L146" s="50"/>
      <c r="M146" s="7"/>
      <c r="N146" s="7"/>
      <c r="O146" s="7"/>
      <c r="P146" s="7"/>
      <c r="Q146" s="7"/>
    </row>
    <row r="147" spans="2:17" customFormat="1" hidden="1">
      <c r="B147" s="119" t="s">
        <v>342</v>
      </c>
      <c r="C147" s="130" t="s">
        <v>255</v>
      </c>
      <c r="D147" s="119" t="s">
        <v>256</v>
      </c>
      <c r="E147" s="130" t="s">
        <v>57</v>
      </c>
      <c r="F147" s="119">
        <v>751204</v>
      </c>
      <c r="G147" s="119" t="s">
        <v>262</v>
      </c>
      <c r="H147" s="119" t="s">
        <v>1345</v>
      </c>
      <c r="I147" s="131">
        <v>2</v>
      </c>
      <c r="J147" s="141" t="s">
        <v>229</v>
      </c>
      <c r="K147" s="122" t="s">
        <v>105</v>
      </c>
      <c r="L147" s="49"/>
      <c r="M147" s="7"/>
      <c r="N147" s="7"/>
      <c r="O147" s="7"/>
      <c r="P147" s="7"/>
      <c r="Q147" s="7"/>
    </row>
    <row r="148" spans="2:17" customFormat="1" hidden="1">
      <c r="B148" s="119" t="s">
        <v>343</v>
      </c>
      <c r="C148" s="130" t="s">
        <v>255</v>
      </c>
      <c r="D148" s="119" t="s">
        <v>256</v>
      </c>
      <c r="E148" s="283" t="s">
        <v>45</v>
      </c>
      <c r="F148" s="119">
        <v>522301</v>
      </c>
      <c r="G148" s="119" t="s">
        <v>200</v>
      </c>
      <c r="H148" s="119" t="s">
        <v>2394</v>
      </c>
      <c r="I148" s="131">
        <v>1</v>
      </c>
      <c r="J148" s="141" t="s">
        <v>229</v>
      </c>
      <c r="K148" s="122" t="s">
        <v>105</v>
      </c>
      <c r="L148" s="49"/>
      <c r="M148" s="7"/>
      <c r="N148" s="7"/>
      <c r="O148" s="7"/>
      <c r="P148" s="7"/>
      <c r="Q148" s="7"/>
    </row>
    <row r="149" spans="2:17" customFormat="1" hidden="1">
      <c r="B149" s="119" t="s">
        <v>344</v>
      </c>
      <c r="C149" s="130" t="s">
        <v>255</v>
      </c>
      <c r="D149" s="119" t="s">
        <v>256</v>
      </c>
      <c r="E149" s="130" t="s">
        <v>33</v>
      </c>
      <c r="F149" s="119">
        <v>752204</v>
      </c>
      <c r="G149" s="119" t="s">
        <v>204</v>
      </c>
      <c r="H149" s="119" t="s">
        <v>1349</v>
      </c>
      <c r="I149" s="131">
        <v>2</v>
      </c>
      <c r="J149" s="141" t="s">
        <v>229</v>
      </c>
      <c r="K149" s="122" t="s">
        <v>105</v>
      </c>
      <c r="L149" s="49"/>
      <c r="M149" s="7"/>
      <c r="N149" s="7"/>
      <c r="O149" s="7"/>
      <c r="P149" s="7"/>
      <c r="Q149" s="7"/>
    </row>
    <row r="150" spans="2:17" customFormat="1" hidden="1">
      <c r="B150" s="119" t="s">
        <v>345</v>
      </c>
      <c r="C150" s="130" t="s">
        <v>255</v>
      </c>
      <c r="D150" s="119" t="s">
        <v>256</v>
      </c>
      <c r="E150" s="130" t="s">
        <v>53</v>
      </c>
      <c r="F150" s="119">
        <v>741203</v>
      </c>
      <c r="G150" s="119" t="s">
        <v>232</v>
      </c>
      <c r="H150" s="119" t="s">
        <v>1344</v>
      </c>
      <c r="I150" s="131">
        <v>1</v>
      </c>
      <c r="J150" s="141" t="s">
        <v>229</v>
      </c>
      <c r="K150" s="122" t="s">
        <v>105</v>
      </c>
      <c r="L150" s="49"/>
      <c r="M150" s="7"/>
      <c r="N150" s="7"/>
      <c r="O150" s="7"/>
      <c r="P150" s="7"/>
      <c r="Q150" s="7"/>
    </row>
    <row r="151" spans="2:17" customFormat="1" hidden="1">
      <c r="B151" s="119" t="s">
        <v>346</v>
      </c>
      <c r="C151" s="130" t="s">
        <v>257</v>
      </c>
      <c r="D151" s="119" t="s">
        <v>258</v>
      </c>
      <c r="E151" s="130" t="s">
        <v>236</v>
      </c>
      <c r="F151" s="119">
        <v>711402</v>
      </c>
      <c r="G151" s="119" t="s">
        <v>861</v>
      </c>
      <c r="H151" s="119" t="s">
        <v>2394</v>
      </c>
      <c r="I151" s="131">
        <v>5</v>
      </c>
      <c r="J151" s="141" t="s">
        <v>229</v>
      </c>
      <c r="K151" s="122" t="s">
        <v>105</v>
      </c>
      <c r="L151" s="49"/>
      <c r="M151" s="7"/>
      <c r="N151" s="7"/>
      <c r="O151" s="7"/>
      <c r="P151" s="7"/>
      <c r="Q151" s="7"/>
    </row>
    <row r="152" spans="2:17" customFormat="1" hidden="1">
      <c r="B152" s="119" t="s">
        <v>347</v>
      </c>
      <c r="C152" s="130" t="s">
        <v>257</v>
      </c>
      <c r="D152" s="119" t="s">
        <v>258</v>
      </c>
      <c r="E152" s="130" t="s">
        <v>38</v>
      </c>
      <c r="F152" s="119">
        <v>741103</v>
      </c>
      <c r="G152" s="119" t="s">
        <v>205</v>
      </c>
      <c r="H152" s="119" t="s">
        <v>1343</v>
      </c>
      <c r="I152" s="131">
        <v>1</v>
      </c>
      <c r="J152" s="141" t="s">
        <v>229</v>
      </c>
      <c r="K152" s="122" t="s">
        <v>105</v>
      </c>
      <c r="L152" s="49"/>
      <c r="M152" s="7"/>
      <c r="N152" s="7"/>
      <c r="O152" s="7"/>
      <c r="P152" s="7"/>
      <c r="Q152" s="7"/>
    </row>
    <row r="153" spans="2:17" customFormat="1" hidden="1">
      <c r="B153" s="119" t="s">
        <v>348</v>
      </c>
      <c r="C153" s="130" t="s">
        <v>257</v>
      </c>
      <c r="D153" s="119" t="s">
        <v>258</v>
      </c>
      <c r="E153" s="283" t="s">
        <v>36</v>
      </c>
      <c r="F153" s="119">
        <v>514101</v>
      </c>
      <c r="G153" s="119" t="s">
        <v>197</v>
      </c>
      <c r="H153" s="295" t="s">
        <v>2260</v>
      </c>
      <c r="I153" s="131">
        <v>1</v>
      </c>
      <c r="J153" s="141" t="s">
        <v>228</v>
      </c>
      <c r="K153" s="122" t="s">
        <v>104</v>
      </c>
      <c r="L153" s="48"/>
      <c r="M153" s="14"/>
      <c r="N153" s="7"/>
      <c r="O153" s="7"/>
      <c r="P153" s="7"/>
      <c r="Q153" s="7"/>
    </row>
    <row r="154" spans="2:17" customFormat="1" hidden="1">
      <c r="B154" s="119" t="s">
        <v>349</v>
      </c>
      <c r="C154" s="130" t="s">
        <v>257</v>
      </c>
      <c r="D154" s="119" t="s">
        <v>258</v>
      </c>
      <c r="E154" s="130" t="s">
        <v>44</v>
      </c>
      <c r="F154" s="119">
        <v>512001</v>
      </c>
      <c r="G154" s="119" t="s">
        <v>203</v>
      </c>
      <c r="H154" s="295" t="s">
        <v>1343</v>
      </c>
      <c r="I154" s="131">
        <v>2</v>
      </c>
      <c r="J154" s="141" t="s">
        <v>228</v>
      </c>
      <c r="K154" s="122" t="s">
        <v>104</v>
      </c>
      <c r="L154" s="48"/>
      <c r="M154" s="14"/>
      <c r="N154" s="7"/>
      <c r="O154" s="7"/>
      <c r="P154" s="7"/>
      <c r="Q154" s="7"/>
    </row>
    <row r="155" spans="2:17" customFormat="1" hidden="1">
      <c r="B155" s="119" t="s">
        <v>350</v>
      </c>
      <c r="C155" s="130" t="s">
        <v>257</v>
      </c>
      <c r="D155" s="119" t="s">
        <v>258</v>
      </c>
      <c r="E155" s="283" t="s">
        <v>45</v>
      </c>
      <c r="F155" s="119">
        <v>522301</v>
      </c>
      <c r="G155" s="119" t="s">
        <v>200</v>
      </c>
      <c r="H155" s="295" t="s">
        <v>1345</v>
      </c>
      <c r="I155" s="131">
        <v>2</v>
      </c>
      <c r="J155" s="141" t="s">
        <v>228</v>
      </c>
      <c r="K155" s="122" t="s">
        <v>104</v>
      </c>
      <c r="L155" s="48"/>
      <c r="M155" s="14"/>
      <c r="N155" s="7"/>
      <c r="O155" s="7"/>
      <c r="P155" s="7"/>
      <c r="Q155" s="7"/>
    </row>
    <row r="156" spans="2:17" ht="45" hidden="1">
      <c r="B156" s="119" t="s">
        <v>351</v>
      </c>
      <c r="C156" s="283" t="s">
        <v>259</v>
      </c>
      <c r="D156" s="119" t="s">
        <v>560</v>
      </c>
      <c r="E156" s="283" t="s">
        <v>36</v>
      </c>
      <c r="F156" s="119">
        <v>514101</v>
      </c>
      <c r="G156" s="119" t="s">
        <v>197</v>
      </c>
      <c r="H156" s="132" t="s">
        <v>1432</v>
      </c>
      <c r="I156" s="131">
        <v>15</v>
      </c>
      <c r="J156" s="280" t="s">
        <v>116</v>
      </c>
      <c r="K156" s="207" t="s">
        <v>942</v>
      </c>
      <c r="L156" s="303"/>
      <c r="M156" s="10"/>
      <c r="N156" s="10"/>
      <c r="O156" s="10"/>
      <c r="P156" s="10"/>
      <c r="Q156" s="281"/>
    </row>
    <row r="157" spans="2:17" ht="45" hidden="1">
      <c r="B157" s="119" t="s">
        <v>352</v>
      </c>
      <c r="C157" s="283" t="s">
        <v>259</v>
      </c>
      <c r="D157" s="119" t="s">
        <v>560</v>
      </c>
      <c r="E157" s="283" t="s">
        <v>45</v>
      </c>
      <c r="F157" s="119">
        <v>522301</v>
      </c>
      <c r="G157" s="119" t="s">
        <v>200</v>
      </c>
      <c r="H157" s="132" t="s">
        <v>1433</v>
      </c>
      <c r="I157" s="131">
        <v>6</v>
      </c>
      <c r="J157" s="280" t="s">
        <v>116</v>
      </c>
      <c r="K157" s="207" t="s">
        <v>942</v>
      </c>
      <c r="L157" s="303"/>
      <c r="M157" s="10"/>
      <c r="N157" s="10"/>
      <c r="O157" s="10"/>
      <c r="P157" s="10"/>
      <c r="Q157" s="281"/>
    </row>
    <row r="158" spans="2:17" customFormat="1" hidden="1">
      <c r="B158" s="119" t="s">
        <v>353</v>
      </c>
      <c r="C158" s="130" t="s">
        <v>259</v>
      </c>
      <c r="D158" s="119" t="s">
        <v>560</v>
      </c>
      <c r="E158" s="130" t="s">
        <v>55</v>
      </c>
      <c r="F158" s="119">
        <v>343101</v>
      </c>
      <c r="G158" s="119" t="s">
        <v>261</v>
      </c>
      <c r="H158" s="119" t="s">
        <v>1329</v>
      </c>
      <c r="I158" s="131">
        <v>1</v>
      </c>
      <c r="J158" s="141" t="s">
        <v>195</v>
      </c>
      <c r="K158" s="122" t="s">
        <v>41</v>
      </c>
      <c r="L158" s="48"/>
      <c r="M158" s="7"/>
      <c r="N158" s="7"/>
      <c r="O158" s="7"/>
      <c r="P158" s="7"/>
      <c r="Q158" s="7"/>
    </row>
    <row r="159" spans="2:17" hidden="1">
      <c r="B159" s="119" t="s">
        <v>354</v>
      </c>
      <c r="C159" s="283" t="s">
        <v>259</v>
      </c>
      <c r="D159" s="119" t="s">
        <v>560</v>
      </c>
      <c r="E159" s="283" t="s">
        <v>57</v>
      </c>
      <c r="F159" s="119">
        <v>751204</v>
      </c>
      <c r="G159" s="119" t="s">
        <v>262</v>
      </c>
      <c r="H159" s="143" t="s">
        <v>1427</v>
      </c>
      <c r="I159" s="131">
        <v>1</v>
      </c>
      <c r="J159" s="280" t="s">
        <v>116</v>
      </c>
      <c r="K159" s="207" t="s">
        <v>942</v>
      </c>
      <c r="L159" s="303"/>
      <c r="M159" s="10"/>
      <c r="N159" s="10"/>
      <c r="O159" s="10"/>
      <c r="P159" s="10"/>
      <c r="Q159" s="281"/>
    </row>
    <row r="160" spans="2:17" customFormat="1" hidden="1">
      <c r="B160" s="119" t="s">
        <v>355</v>
      </c>
      <c r="C160" s="130" t="s">
        <v>259</v>
      </c>
      <c r="D160" s="119" t="s">
        <v>560</v>
      </c>
      <c r="E160" s="130" t="s">
        <v>144</v>
      </c>
      <c r="F160" s="119">
        <v>712618</v>
      </c>
      <c r="G160" s="119" t="s">
        <v>199</v>
      </c>
      <c r="H160" s="119" t="s">
        <v>1343</v>
      </c>
      <c r="I160" s="131">
        <v>1</v>
      </c>
      <c r="J160" s="141" t="s">
        <v>229</v>
      </c>
      <c r="K160" s="122" t="s">
        <v>105</v>
      </c>
      <c r="L160" s="49"/>
      <c r="M160" s="7"/>
      <c r="N160" s="7"/>
      <c r="O160" s="7"/>
      <c r="P160" s="7"/>
      <c r="Q160" s="7"/>
    </row>
    <row r="161" spans="2:17" customFormat="1" hidden="1">
      <c r="B161" s="119" t="s">
        <v>356</v>
      </c>
      <c r="C161" s="130" t="s">
        <v>264</v>
      </c>
      <c r="D161" s="119" t="s">
        <v>265</v>
      </c>
      <c r="E161" s="130" t="s">
        <v>206</v>
      </c>
      <c r="F161" s="119">
        <v>722204</v>
      </c>
      <c r="G161" s="119" t="s">
        <v>207</v>
      </c>
      <c r="H161" s="295" t="s">
        <v>1411</v>
      </c>
      <c r="I161" s="131">
        <v>3</v>
      </c>
      <c r="J161" s="141" t="s">
        <v>109</v>
      </c>
      <c r="K161" s="122" t="s">
        <v>237</v>
      </c>
      <c r="L161" s="57"/>
      <c r="M161" s="7"/>
      <c r="N161" s="7"/>
      <c r="O161" s="7"/>
      <c r="P161" s="7"/>
      <c r="Q161" s="7"/>
    </row>
    <row r="162" spans="2:17" customFormat="1" hidden="1">
      <c r="B162" s="119" t="s">
        <v>357</v>
      </c>
      <c r="C162" s="130" t="s">
        <v>264</v>
      </c>
      <c r="D162" s="119" t="s">
        <v>265</v>
      </c>
      <c r="E162" s="130" t="s">
        <v>34</v>
      </c>
      <c r="F162" s="119">
        <v>723103</v>
      </c>
      <c r="G162" s="119" t="s">
        <v>201</v>
      </c>
      <c r="H162" s="295" t="s">
        <v>1413</v>
      </c>
      <c r="I162" s="131">
        <v>3</v>
      </c>
      <c r="J162" s="141" t="s">
        <v>109</v>
      </c>
      <c r="K162" s="122" t="s">
        <v>237</v>
      </c>
      <c r="L162" s="57"/>
      <c r="M162" s="7"/>
      <c r="N162" s="7"/>
      <c r="O162" s="7"/>
      <c r="P162" s="7"/>
      <c r="Q162" s="7"/>
    </row>
    <row r="163" spans="2:17" hidden="1">
      <c r="B163" s="119" t="s">
        <v>358</v>
      </c>
      <c r="C163" s="283" t="s">
        <v>266</v>
      </c>
      <c r="D163" s="119" t="s">
        <v>253</v>
      </c>
      <c r="E163" s="283" t="s">
        <v>57</v>
      </c>
      <c r="F163" s="119">
        <v>751204</v>
      </c>
      <c r="G163" s="119" t="s">
        <v>262</v>
      </c>
      <c r="H163" s="143" t="s">
        <v>1427</v>
      </c>
      <c r="I163" s="131">
        <v>1</v>
      </c>
      <c r="J163" s="280" t="s">
        <v>116</v>
      </c>
      <c r="K163" s="207" t="s">
        <v>942</v>
      </c>
      <c r="L163" s="303"/>
      <c r="M163" s="10"/>
      <c r="N163" s="10"/>
      <c r="O163" s="10"/>
      <c r="P163" s="10"/>
      <c r="Q163" s="281"/>
    </row>
    <row r="164" spans="2:17" hidden="1">
      <c r="B164" s="119" t="s">
        <v>359</v>
      </c>
      <c r="C164" s="283" t="s">
        <v>266</v>
      </c>
      <c r="D164" s="119" t="s">
        <v>253</v>
      </c>
      <c r="E164" s="283" t="s">
        <v>36</v>
      </c>
      <c r="F164" s="119">
        <v>514101</v>
      </c>
      <c r="G164" s="119" t="s">
        <v>197</v>
      </c>
      <c r="H164" s="119" t="s">
        <v>1427</v>
      </c>
      <c r="I164" s="131">
        <v>11</v>
      </c>
      <c r="J164" s="280" t="s">
        <v>116</v>
      </c>
      <c r="K164" s="207" t="s">
        <v>942</v>
      </c>
      <c r="L164" s="303"/>
      <c r="M164" s="10"/>
      <c r="N164" s="10"/>
      <c r="O164" s="10"/>
      <c r="P164" s="10"/>
      <c r="Q164" s="281"/>
    </row>
    <row r="165" spans="2:17" ht="30" hidden="1">
      <c r="B165" s="119" t="s">
        <v>360</v>
      </c>
      <c r="C165" s="283" t="s">
        <v>266</v>
      </c>
      <c r="D165" s="119" t="s">
        <v>253</v>
      </c>
      <c r="E165" s="130" t="s">
        <v>44</v>
      </c>
      <c r="F165" s="119">
        <v>512001</v>
      </c>
      <c r="G165" s="119" t="s">
        <v>203</v>
      </c>
      <c r="H165" s="132" t="s">
        <v>1419</v>
      </c>
      <c r="I165" s="131">
        <v>8</v>
      </c>
      <c r="J165" s="280" t="s">
        <v>116</v>
      </c>
      <c r="K165" s="207" t="s">
        <v>942</v>
      </c>
      <c r="L165" s="303"/>
      <c r="M165" s="10"/>
      <c r="N165" s="10"/>
      <c r="O165" s="10"/>
      <c r="P165" s="10"/>
      <c r="Q165" s="281"/>
    </row>
    <row r="166" spans="2:17" customFormat="1" hidden="1">
      <c r="B166" s="119" t="s">
        <v>361</v>
      </c>
      <c r="C166" s="130" t="s">
        <v>266</v>
      </c>
      <c r="D166" s="119" t="s">
        <v>253</v>
      </c>
      <c r="E166" s="16" t="s">
        <v>280</v>
      </c>
      <c r="F166" s="119">
        <v>723310</v>
      </c>
      <c r="G166" s="119" t="s">
        <v>864</v>
      </c>
      <c r="H166" s="119" t="s">
        <v>1327</v>
      </c>
      <c r="I166" s="131">
        <v>1</v>
      </c>
      <c r="J166" s="141" t="s">
        <v>195</v>
      </c>
      <c r="K166" s="122" t="s">
        <v>41</v>
      </c>
      <c r="L166" s="48"/>
      <c r="M166" s="7"/>
      <c r="N166" s="7"/>
      <c r="O166" s="7"/>
      <c r="P166" s="7"/>
      <c r="Q166" s="7"/>
    </row>
    <row r="167" spans="2:17" customFormat="1">
      <c r="B167" s="119" t="s">
        <v>362</v>
      </c>
      <c r="C167" s="130" t="s">
        <v>266</v>
      </c>
      <c r="D167" s="119" t="s">
        <v>253</v>
      </c>
      <c r="E167" s="130" t="s">
        <v>267</v>
      </c>
      <c r="F167" s="119">
        <v>751107</v>
      </c>
      <c r="G167" s="119" t="s">
        <v>572</v>
      </c>
      <c r="H167" s="119" t="s">
        <v>2394</v>
      </c>
      <c r="I167" s="131">
        <v>1</v>
      </c>
      <c r="J167" s="141" t="s">
        <v>61</v>
      </c>
      <c r="K167" s="122" t="s">
        <v>851</v>
      </c>
      <c r="L167" s="48"/>
      <c r="M167" s="7"/>
      <c r="N167" s="7"/>
      <c r="O167" s="7"/>
      <c r="P167" s="7"/>
      <c r="Q167" s="7"/>
    </row>
    <row r="168" spans="2:17" customFormat="1" hidden="1">
      <c r="B168" s="119" t="s">
        <v>363</v>
      </c>
      <c r="C168" s="130" t="s">
        <v>266</v>
      </c>
      <c r="D168" s="119" t="s">
        <v>253</v>
      </c>
      <c r="E168" s="130" t="s">
        <v>38</v>
      </c>
      <c r="F168" s="119">
        <v>741103</v>
      </c>
      <c r="G168" s="119" t="s">
        <v>205</v>
      </c>
      <c r="H168" s="119"/>
      <c r="I168" s="319">
        <v>0</v>
      </c>
      <c r="J168" s="141" t="s">
        <v>229</v>
      </c>
      <c r="K168" s="221"/>
      <c r="L168" s="55"/>
      <c r="M168" s="7"/>
      <c r="N168" s="7"/>
      <c r="O168" s="7"/>
      <c r="P168" s="7"/>
      <c r="Q168" s="7"/>
    </row>
    <row r="169" spans="2:17" ht="45" hidden="1">
      <c r="B169" s="119" t="s">
        <v>364</v>
      </c>
      <c r="C169" s="283" t="s">
        <v>266</v>
      </c>
      <c r="D169" s="119" t="s">
        <v>253</v>
      </c>
      <c r="E169" s="283" t="s">
        <v>45</v>
      </c>
      <c r="F169" s="119">
        <v>522301</v>
      </c>
      <c r="G169" s="119" t="s">
        <v>200</v>
      </c>
      <c r="H169" s="132" t="s">
        <v>1433</v>
      </c>
      <c r="I169" s="131">
        <v>10</v>
      </c>
      <c r="J169" s="280" t="s">
        <v>116</v>
      </c>
      <c r="K169" s="207" t="s">
        <v>942</v>
      </c>
      <c r="L169" s="315"/>
      <c r="M169" s="10"/>
      <c r="N169" s="10"/>
      <c r="O169" s="10"/>
      <c r="P169" s="10"/>
      <c r="Q169" s="281"/>
    </row>
    <row r="170" spans="2:17" customFormat="1">
      <c r="B170" s="119" t="s">
        <v>365</v>
      </c>
      <c r="C170" s="130" t="s">
        <v>266</v>
      </c>
      <c r="D170" s="119" t="s">
        <v>253</v>
      </c>
      <c r="E170" s="130" t="s">
        <v>239</v>
      </c>
      <c r="F170" s="119">
        <v>741201</v>
      </c>
      <c r="G170" s="119" t="s">
        <v>90</v>
      </c>
      <c r="H170" s="119" t="s">
        <v>1348</v>
      </c>
      <c r="I170" s="131">
        <v>1</v>
      </c>
      <c r="J170" s="141" t="s">
        <v>61</v>
      </c>
      <c r="K170" s="122" t="s">
        <v>851</v>
      </c>
      <c r="L170" s="48"/>
      <c r="M170" s="7"/>
      <c r="N170" s="7"/>
      <c r="O170" s="7"/>
      <c r="P170" s="7"/>
      <c r="Q170" s="7"/>
    </row>
    <row r="171" spans="2:17" customFormat="1" hidden="1">
      <c r="B171" s="119" t="s">
        <v>366</v>
      </c>
      <c r="C171" s="130" t="s">
        <v>266</v>
      </c>
      <c r="D171" s="119" t="s">
        <v>253</v>
      </c>
      <c r="E171" s="130" t="s">
        <v>144</v>
      </c>
      <c r="F171" s="119">
        <v>712618</v>
      </c>
      <c r="G171" s="119" t="s">
        <v>199</v>
      </c>
      <c r="H171" s="119" t="s">
        <v>1343</v>
      </c>
      <c r="I171" s="131">
        <v>1</v>
      </c>
      <c r="J171" s="141" t="s">
        <v>229</v>
      </c>
      <c r="K171" s="122" t="s">
        <v>105</v>
      </c>
      <c r="L171" s="49"/>
      <c r="M171" s="7"/>
      <c r="N171" s="7"/>
      <c r="O171" s="7"/>
      <c r="P171" s="7"/>
      <c r="Q171" s="7"/>
    </row>
    <row r="172" spans="2:17" customFormat="1" hidden="1">
      <c r="B172" s="119" t="s">
        <v>367</v>
      </c>
      <c r="C172" s="130" t="s">
        <v>270</v>
      </c>
      <c r="D172" s="119" t="s">
        <v>260</v>
      </c>
      <c r="E172" s="283" t="s">
        <v>45</v>
      </c>
      <c r="F172" s="146">
        <v>522301</v>
      </c>
      <c r="G172" s="119" t="s">
        <v>200</v>
      </c>
      <c r="H172" s="295" t="s">
        <v>1345</v>
      </c>
      <c r="I172" s="147">
        <v>4</v>
      </c>
      <c r="J172" s="141" t="s">
        <v>228</v>
      </c>
      <c r="K172" s="122" t="s">
        <v>104</v>
      </c>
      <c r="L172" s="48"/>
      <c r="M172" s="14"/>
      <c r="N172" s="7"/>
      <c r="O172" s="7"/>
      <c r="P172" s="7"/>
      <c r="Q172" s="7"/>
    </row>
    <row r="173" spans="2:17" hidden="1">
      <c r="B173" s="119" t="s">
        <v>368</v>
      </c>
      <c r="C173" s="283" t="s">
        <v>271</v>
      </c>
      <c r="D173" s="119" t="s">
        <v>272</v>
      </c>
      <c r="E173" s="283" t="s">
        <v>45</v>
      </c>
      <c r="F173" s="119">
        <v>522301</v>
      </c>
      <c r="G173" s="119" t="s">
        <v>200</v>
      </c>
      <c r="H173" s="143" t="s">
        <v>1427</v>
      </c>
      <c r="I173" s="131">
        <v>7</v>
      </c>
      <c r="J173" s="280" t="s">
        <v>116</v>
      </c>
      <c r="K173" s="207" t="s">
        <v>942</v>
      </c>
      <c r="L173" s="315"/>
      <c r="M173" s="10"/>
      <c r="N173" s="10"/>
      <c r="O173" s="10"/>
      <c r="P173" s="10"/>
      <c r="Q173" s="281"/>
    </row>
    <row r="174" spans="2:17" hidden="1">
      <c r="B174" s="119" t="s">
        <v>369</v>
      </c>
      <c r="C174" s="283" t="s">
        <v>271</v>
      </c>
      <c r="D174" s="119" t="s">
        <v>272</v>
      </c>
      <c r="E174" s="283" t="s">
        <v>36</v>
      </c>
      <c r="F174" s="119">
        <v>514101</v>
      </c>
      <c r="G174" s="119" t="s">
        <v>197</v>
      </c>
      <c r="H174" s="119" t="s">
        <v>1427</v>
      </c>
      <c r="I174" s="131">
        <v>5</v>
      </c>
      <c r="J174" s="280" t="s">
        <v>116</v>
      </c>
      <c r="K174" s="207" t="s">
        <v>942</v>
      </c>
      <c r="L174" s="315"/>
      <c r="M174" s="10"/>
      <c r="N174" s="10"/>
      <c r="O174" s="10"/>
      <c r="P174" s="10"/>
      <c r="Q174" s="281"/>
    </row>
    <row r="175" spans="2:17" hidden="1">
      <c r="B175" s="119" t="s">
        <v>370</v>
      </c>
      <c r="C175" s="283" t="s">
        <v>271</v>
      </c>
      <c r="D175" s="119" t="s">
        <v>272</v>
      </c>
      <c r="E175" s="311" t="s">
        <v>37</v>
      </c>
      <c r="F175" s="119">
        <v>751201</v>
      </c>
      <c r="G175" s="119" t="s">
        <v>866</v>
      </c>
      <c r="H175" s="143" t="s">
        <v>1421</v>
      </c>
      <c r="I175" s="131">
        <v>1</v>
      </c>
      <c r="J175" s="280" t="s">
        <v>116</v>
      </c>
      <c r="K175" s="207" t="s">
        <v>942</v>
      </c>
      <c r="L175" s="315"/>
      <c r="M175" s="10"/>
      <c r="N175" s="10"/>
      <c r="O175" s="10"/>
      <c r="P175" s="10"/>
      <c r="Q175" s="281"/>
    </row>
    <row r="176" spans="2:17" hidden="1">
      <c r="B176" s="119" t="s">
        <v>371</v>
      </c>
      <c r="C176" s="283" t="s">
        <v>271</v>
      </c>
      <c r="D176" s="119" t="s">
        <v>272</v>
      </c>
      <c r="E176" s="130" t="s">
        <v>44</v>
      </c>
      <c r="F176" s="119">
        <v>512001</v>
      </c>
      <c r="G176" s="119" t="s">
        <v>203</v>
      </c>
      <c r="H176" s="143" t="s">
        <v>1427</v>
      </c>
      <c r="I176" s="131">
        <v>3</v>
      </c>
      <c r="J176" s="280" t="s">
        <v>116</v>
      </c>
      <c r="K176" s="207" t="s">
        <v>942</v>
      </c>
      <c r="L176" s="315"/>
      <c r="M176" s="10"/>
      <c r="N176" s="10"/>
      <c r="O176" s="10"/>
      <c r="P176" s="10"/>
      <c r="Q176" s="281"/>
    </row>
    <row r="177" spans="2:18" customFormat="1">
      <c r="B177" s="119" t="s">
        <v>372</v>
      </c>
      <c r="C177" s="130" t="s">
        <v>271</v>
      </c>
      <c r="D177" s="119" t="s">
        <v>272</v>
      </c>
      <c r="E177" s="130" t="s">
        <v>34</v>
      </c>
      <c r="F177" s="119">
        <v>723103</v>
      </c>
      <c r="G177" s="119" t="s">
        <v>201</v>
      </c>
      <c r="H177" s="119" t="s">
        <v>2394</v>
      </c>
      <c r="I177" s="131">
        <v>2</v>
      </c>
      <c r="J177" s="141" t="s">
        <v>61</v>
      </c>
      <c r="K177" s="42" t="s">
        <v>851</v>
      </c>
      <c r="L177" s="55"/>
      <c r="M177" s="7"/>
      <c r="N177" s="7"/>
      <c r="O177" s="7"/>
      <c r="P177" s="7"/>
      <c r="Q177" s="7"/>
      <c r="R177" s="171" t="s">
        <v>1307</v>
      </c>
    </row>
    <row r="178" spans="2:18" customFormat="1">
      <c r="B178" s="119" t="s">
        <v>373</v>
      </c>
      <c r="C178" s="130" t="s">
        <v>271</v>
      </c>
      <c r="D178" s="119" t="s">
        <v>272</v>
      </c>
      <c r="E178" s="130" t="s">
        <v>53</v>
      </c>
      <c r="F178" s="119">
        <v>741203</v>
      </c>
      <c r="G178" s="119" t="s">
        <v>232</v>
      </c>
      <c r="H178" s="119" t="s">
        <v>1344</v>
      </c>
      <c r="I178" s="131">
        <v>1</v>
      </c>
      <c r="J178" s="141" t="s">
        <v>61</v>
      </c>
      <c r="K178" s="42" t="s">
        <v>851</v>
      </c>
      <c r="L178" s="55"/>
      <c r="M178" s="7"/>
      <c r="N178" s="7"/>
      <c r="O178" s="7"/>
      <c r="P178" s="7"/>
      <c r="Q178" s="7"/>
    </row>
    <row r="179" spans="2:18" ht="30" hidden="1">
      <c r="B179" s="119" t="s">
        <v>374</v>
      </c>
      <c r="C179" s="283" t="s">
        <v>274</v>
      </c>
      <c r="D179" s="119" t="s">
        <v>275</v>
      </c>
      <c r="E179" s="283" t="s">
        <v>45</v>
      </c>
      <c r="F179" s="119">
        <v>522301</v>
      </c>
      <c r="G179" s="119" t="s">
        <v>200</v>
      </c>
      <c r="H179" s="132" t="s">
        <v>1419</v>
      </c>
      <c r="I179" s="131">
        <v>5</v>
      </c>
      <c r="J179" s="280" t="s">
        <v>116</v>
      </c>
      <c r="K179" s="207" t="s">
        <v>942</v>
      </c>
      <c r="L179" s="303"/>
      <c r="M179" s="10"/>
      <c r="N179" s="10"/>
      <c r="O179" s="10"/>
      <c r="P179" s="10"/>
      <c r="Q179" s="281"/>
    </row>
    <row r="180" spans="2:18" hidden="1">
      <c r="B180" s="119" t="s">
        <v>375</v>
      </c>
      <c r="C180" s="283" t="s">
        <v>274</v>
      </c>
      <c r="D180" s="119" t="s">
        <v>275</v>
      </c>
      <c r="E180" s="283" t="s">
        <v>36</v>
      </c>
      <c r="F180" s="119">
        <v>514101</v>
      </c>
      <c r="G180" s="119" t="s">
        <v>197</v>
      </c>
      <c r="H180" s="143" t="s">
        <v>1420</v>
      </c>
      <c r="I180" s="131">
        <v>3</v>
      </c>
      <c r="J180" s="280" t="s">
        <v>116</v>
      </c>
      <c r="K180" s="207" t="s">
        <v>942</v>
      </c>
      <c r="L180" s="303"/>
      <c r="M180" s="10"/>
      <c r="N180" s="10"/>
      <c r="O180" s="10"/>
      <c r="P180" s="10"/>
      <c r="Q180" s="281"/>
    </row>
    <row r="181" spans="2:18" hidden="1">
      <c r="B181" s="119" t="s">
        <v>376</v>
      </c>
      <c r="C181" s="283" t="s">
        <v>274</v>
      </c>
      <c r="D181" s="119" t="s">
        <v>275</v>
      </c>
      <c r="E181" s="130" t="s">
        <v>44</v>
      </c>
      <c r="F181" s="119">
        <v>512001</v>
      </c>
      <c r="G181" s="119" t="s">
        <v>203</v>
      </c>
      <c r="H181" s="143" t="s">
        <v>1420</v>
      </c>
      <c r="I181" s="131">
        <v>3</v>
      </c>
      <c r="J181" s="280" t="s">
        <v>116</v>
      </c>
      <c r="K181" s="207" t="s">
        <v>942</v>
      </c>
      <c r="L181" s="303"/>
      <c r="M181" s="10"/>
      <c r="N181" s="10"/>
      <c r="O181" s="10"/>
      <c r="P181" s="10"/>
      <c r="Q181" s="281"/>
    </row>
    <row r="182" spans="2:18" hidden="1">
      <c r="B182" s="119" t="s">
        <v>377</v>
      </c>
      <c r="C182" s="283" t="s">
        <v>274</v>
      </c>
      <c r="D182" s="119" t="s">
        <v>275</v>
      </c>
      <c r="E182" s="283" t="s">
        <v>215</v>
      </c>
      <c r="F182" s="119">
        <v>751201</v>
      </c>
      <c r="G182" s="119" t="s">
        <v>866</v>
      </c>
      <c r="H182" s="143" t="s">
        <v>1421</v>
      </c>
      <c r="I182" s="131">
        <v>3</v>
      </c>
      <c r="J182" s="280" t="s">
        <v>116</v>
      </c>
      <c r="K182" s="207" t="s">
        <v>942</v>
      </c>
      <c r="L182" s="303"/>
      <c r="M182" s="10"/>
      <c r="N182" s="10"/>
      <c r="O182" s="10"/>
      <c r="P182" s="10"/>
      <c r="Q182" s="281"/>
    </row>
    <row r="183" spans="2:18" customFormat="1" hidden="1">
      <c r="B183" s="119" t="s">
        <v>378</v>
      </c>
      <c r="C183" s="130" t="s">
        <v>274</v>
      </c>
      <c r="D183" s="119" t="s">
        <v>275</v>
      </c>
      <c r="E183" s="130" t="s">
        <v>103</v>
      </c>
      <c r="F183" s="119">
        <v>722307</v>
      </c>
      <c r="G183" s="119" t="s">
        <v>244</v>
      </c>
      <c r="H183" s="119" t="s">
        <v>1344</v>
      </c>
      <c r="I183" s="131">
        <v>3</v>
      </c>
      <c r="J183" s="141" t="s">
        <v>229</v>
      </c>
      <c r="K183" s="122" t="s">
        <v>105</v>
      </c>
      <c r="L183" s="49"/>
      <c r="M183" s="7"/>
      <c r="N183" s="7"/>
      <c r="O183" s="7"/>
      <c r="P183" s="7"/>
      <c r="Q183" s="7"/>
    </row>
    <row r="184" spans="2:18" customFormat="1" ht="18.75" hidden="1" customHeight="1">
      <c r="B184" s="119" t="s">
        <v>379</v>
      </c>
      <c r="C184" s="130" t="s">
        <v>276</v>
      </c>
      <c r="D184" s="119" t="s">
        <v>277</v>
      </c>
      <c r="E184" s="16" t="s">
        <v>278</v>
      </c>
      <c r="F184" s="119">
        <v>751201</v>
      </c>
      <c r="G184" s="119" t="s">
        <v>866</v>
      </c>
      <c r="H184" s="119" t="s">
        <v>1328</v>
      </c>
      <c r="I184" s="6">
        <v>2</v>
      </c>
      <c r="J184" s="141" t="s">
        <v>195</v>
      </c>
      <c r="K184" s="122" t="s">
        <v>41</v>
      </c>
      <c r="L184" s="58"/>
      <c r="M184" s="7"/>
      <c r="N184" s="7"/>
      <c r="O184" s="7"/>
      <c r="P184" s="7"/>
      <c r="Q184" s="7"/>
    </row>
    <row r="185" spans="2:18" customFormat="1" hidden="1">
      <c r="B185" s="119" t="s">
        <v>380</v>
      </c>
      <c r="C185" s="130" t="s">
        <v>276</v>
      </c>
      <c r="D185" s="119" t="s">
        <v>277</v>
      </c>
      <c r="E185" s="130" t="s">
        <v>53</v>
      </c>
      <c r="F185" s="119">
        <v>741203</v>
      </c>
      <c r="G185" s="119" t="s">
        <v>232</v>
      </c>
      <c r="H185" s="119" t="s">
        <v>1344</v>
      </c>
      <c r="I185" s="6">
        <v>2</v>
      </c>
      <c r="J185" s="141" t="s">
        <v>229</v>
      </c>
      <c r="K185" s="122" t="s">
        <v>105</v>
      </c>
      <c r="L185" s="49"/>
      <c r="M185" s="7"/>
      <c r="N185" s="7"/>
      <c r="O185" s="7"/>
      <c r="P185" s="7"/>
      <c r="Q185" s="7"/>
    </row>
    <row r="186" spans="2:18" customFormat="1" ht="15.75" hidden="1" customHeight="1">
      <c r="B186" s="119" t="s">
        <v>381</v>
      </c>
      <c r="C186" s="130" t="s">
        <v>276</v>
      </c>
      <c r="D186" s="119" t="s">
        <v>277</v>
      </c>
      <c r="E186" s="130" t="s">
        <v>38</v>
      </c>
      <c r="F186" s="119">
        <v>741103</v>
      </c>
      <c r="G186" s="119" t="s">
        <v>205</v>
      </c>
      <c r="H186" s="119" t="s">
        <v>1343</v>
      </c>
      <c r="I186" s="6">
        <v>8</v>
      </c>
      <c r="J186" s="141" t="s">
        <v>229</v>
      </c>
      <c r="K186" s="122" t="s">
        <v>105</v>
      </c>
      <c r="L186" s="54"/>
      <c r="M186" s="7"/>
      <c r="N186" s="7"/>
      <c r="O186" s="7"/>
      <c r="P186" s="7"/>
      <c r="Q186" s="7"/>
    </row>
    <row r="187" spans="2:18" customFormat="1" hidden="1">
      <c r="B187" s="119" t="s">
        <v>382</v>
      </c>
      <c r="C187" s="130" t="s">
        <v>276</v>
      </c>
      <c r="D187" s="119" t="s">
        <v>277</v>
      </c>
      <c r="E187" s="130" t="s">
        <v>44</v>
      </c>
      <c r="F187" s="119">
        <v>512001</v>
      </c>
      <c r="G187" s="119" t="s">
        <v>203</v>
      </c>
      <c r="H187" s="6"/>
      <c r="I187" s="365">
        <v>0</v>
      </c>
      <c r="J187" s="141" t="s">
        <v>228</v>
      </c>
      <c r="K187" s="122"/>
      <c r="L187" s="50"/>
      <c r="M187" s="14"/>
      <c r="N187" s="7"/>
      <c r="O187" s="7"/>
      <c r="P187" s="7"/>
      <c r="Q187" s="7"/>
    </row>
    <row r="188" spans="2:18" customFormat="1" ht="15" hidden="1" customHeight="1">
      <c r="B188" s="119" t="s">
        <v>383</v>
      </c>
      <c r="C188" s="130" t="s">
        <v>276</v>
      </c>
      <c r="D188" s="119" t="s">
        <v>277</v>
      </c>
      <c r="E188" s="16" t="s">
        <v>208</v>
      </c>
      <c r="F188" s="119">
        <v>713201</v>
      </c>
      <c r="G188" s="119" t="s">
        <v>209</v>
      </c>
      <c r="H188" s="220" t="s">
        <v>1325</v>
      </c>
      <c r="I188" s="6">
        <v>2</v>
      </c>
      <c r="J188" s="141" t="s">
        <v>195</v>
      </c>
      <c r="K188" s="221" t="s">
        <v>41</v>
      </c>
      <c r="L188" s="55"/>
      <c r="M188" s="7"/>
      <c r="N188" s="7"/>
      <c r="O188" s="7"/>
      <c r="P188" s="7"/>
      <c r="Q188" s="7"/>
    </row>
    <row r="189" spans="2:18" customFormat="1" ht="15.75" hidden="1" customHeight="1">
      <c r="B189" s="119" t="s">
        <v>384</v>
      </c>
      <c r="C189" s="130" t="s">
        <v>276</v>
      </c>
      <c r="D189" s="119" t="s">
        <v>277</v>
      </c>
      <c r="E189" s="16" t="s">
        <v>280</v>
      </c>
      <c r="F189" s="119">
        <v>723310</v>
      </c>
      <c r="G189" s="119" t="s">
        <v>864</v>
      </c>
      <c r="H189" s="119" t="s">
        <v>1327</v>
      </c>
      <c r="I189" s="6">
        <v>2</v>
      </c>
      <c r="J189" s="141" t="s">
        <v>195</v>
      </c>
      <c r="K189" s="122" t="s">
        <v>41</v>
      </c>
      <c r="L189" s="50"/>
      <c r="M189" s="7"/>
      <c r="N189" s="7"/>
      <c r="O189" s="7"/>
      <c r="P189" s="7"/>
      <c r="Q189" s="7"/>
    </row>
    <row r="190" spans="2:18" customFormat="1" hidden="1">
      <c r="B190" s="119" t="s">
        <v>385</v>
      </c>
      <c r="C190" s="130" t="s">
        <v>276</v>
      </c>
      <c r="D190" s="119" t="s">
        <v>277</v>
      </c>
      <c r="E190" s="130" t="s">
        <v>34</v>
      </c>
      <c r="F190" s="119">
        <v>723103</v>
      </c>
      <c r="G190" s="119" t="s">
        <v>201</v>
      </c>
      <c r="H190" s="129" t="s">
        <v>1413</v>
      </c>
      <c r="I190" s="6">
        <v>4</v>
      </c>
      <c r="J190" s="141" t="s">
        <v>228</v>
      </c>
      <c r="K190" s="122" t="s">
        <v>104</v>
      </c>
      <c r="L190" s="50"/>
      <c r="M190" s="14"/>
      <c r="N190" s="7"/>
      <c r="O190" s="7"/>
      <c r="P190" s="7"/>
      <c r="Q190" s="7"/>
    </row>
    <row r="191" spans="2:18" customFormat="1" ht="18" hidden="1" customHeight="1">
      <c r="B191" s="119" t="s">
        <v>386</v>
      </c>
      <c r="C191" s="130" t="s">
        <v>276</v>
      </c>
      <c r="D191" s="119" t="s">
        <v>277</v>
      </c>
      <c r="E191" s="130" t="s">
        <v>57</v>
      </c>
      <c r="F191" s="119">
        <v>751204</v>
      </c>
      <c r="G191" s="119" t="s">
        <v>262</v>
      </c>
      <c r="H191" s="119"/>
      <c r="I191" s="365">
        <v>0</v>
      </c>
      <c r="J191" s="141"/>
      <c r="K191" s="221"/>
      <c r="L191" s="54"/>
      <c r="M191" s="7"/>
      <c r="N191" s="7"/>
      <c r="O191" s="7"/>
      <c r="P191" s="7"/>
      <c r="Q191" s="7"/>
    </row>
    <row r="192" spans="2:18" customFormat="1" hidden="1">
      <c r="B192" s="119" t="s">
        <v>387</v>
      </c>
      <c r="C192" s="130" t="s">
        <v>276</v>
      </c>
      <c r="D192" s="119" t="s">
        <v>277</v>
      </c>
      <c r="E192" s="283" t="s">
        <v>45</v>
      </c>
      <c r="F192" s="119">
        <v>522301</v>
      </c>
      <c r="G192" s="119" t="s">
        <v>200</v>
      </c>
      <c r="H192" s="295" t="s">
        <v>1345</v>
      </c>
      <c r="I192" s="6">
        <v>3</v>
      </c>
      <c r="J192" s="141" t="s">
        <v>228</v>
      </c>
      <c r="K192" s="122" t="s">
        <v>104</v>
      </c>
      <c r="L192" s="50"/>
      <c r="M192" s="14"/>
      <c r="N192" s="7"/>
      <c r="O192" s="7"/>
      <c r="P192" s="7"/>
      <c r="Q192" s="7"/>
    </row>
    <row r="193" spans="2:17" customFormat="1" hidden="1">
      <c r="B193" s="119" t="s">
        <v>388</v>
      </c>
      <c r="C193" s="130" t="s">
        <v>276</v>
      </c>
      <c r="D193" s="119" t="s">
        <v>277</v>
      </c>
      <c r="E193" s="130" t="s">
        <v>33</v>
      </c>
      <c r="F193" s="119">
        <v>752205</v>
      </c>
      <c r="G193" s="119" t="s">
        <v>204</v>
      </c>
      <c r="H193" s="119" t="s">
        <v>1349</v>
      </c>
      <c r="I193" s="6">
        <v>2</v>
      </c>
      <c r="J193" s="141" t="s">
        <v>229</v>
      </c>
      <c r="K193" s="122" t="s">
        <v>105</v>
      </c>
      <c r="L193" s="49"/>
      <c r="M193" s="7"/>
      <c r="N193" s="7"/>
      <c r="O193" s="7"/>
      <c r="P193" s="7"/>
      <c r="Q193" s="7"/>
    </row>
    <row r="194" spans="2:17" customFormat="1" hidden="1">
      <c r="B194" s="119" t="s">
        <v>389</v>
      </c>
      <c r="C194" s="138" t="s">
        <v>2353</v>
      </c>
      <c r="D194" s="119" t="s">
        <v>140</v>
      </c>
      <c r="E194" s="130" t="s">
        <v>34</v>
      </c>
      <c r="F194" s="5">
        <v>723103</v>
      </c>
      <c r="G194" s="119" t="s">
        <v>201</v>
      </c>
      <c r="H194" s="119" t="s">
        <v>2331</v>
      </c>
      <c r="I194" s="131">
        <v>6</v>
      </c>
      <c r="J194" s="141" t="s">
        <v>141</v>
      </c>
      <c r="K194" s="221" t="s">
        <v>943</v>
      </c>
      <c r="L194" s="48"/>
      <c r="M194" s="7"/>
      <c r="N194" s="7"/>
      <c r="O194" s="7"/>
      <c r="P194" s="7"/>
      <c r="Q194" s="7"/>
    </row>
    <row r="195" spans="2:17" customFormat="1" hidden="1">
      <c r="B195" s="119" t="s">
        <v>390</v>
      </c>
      <c r="C195" s="138" t="s">
        <v>2353</v>
      </c>
      <c r="D195" s="119" t="s">
        <v>140</v>
      </c>
      <c r="E195" s="130" t="s">
        <v>206</v>
      </c>
      <c r="F195" s="5">
        <v>722205</v>
      </c>
      <c r="G195" s="119" t="s">
        <v>207</v>
      </c>
      <c r="H195" s="119" t="s">
        <v>1345</v>
      </c>
      <c r="I195" s="131">
        <v>1</v>
      </c>
      <c r="J195" s="141" t="s">
        <v>229</v>
      </c>
      <c r="K195" s="221" t="s">
        <v>105</v>
      </c>
      <c r="L195" s="49"/>
      <c r="M195" s="7"/>
      <c r="N195" s="7"/>
      <c r="O195" s="7"/>
      <c r="P195" s="7"/>
      <c r="Q195" s="7"/>
    </row>
    <row r="196" spans="2:17" customFormat="1" hidden="1">
      <c r="B196" s="119" t="s">
        <v>391</v>
      </c>
      <c r="C196" s="138" t="s">
        <v>2353</v>
      </c>
      <c r="D196" s="119" t="s">
        <v>140</v>
      </c>
      <c r="E196" s="130" t="s">
        <v>91</v>
      </c>
      <c r="F196" s="119">
        <v>752206</v>
      </c>
      <c r="G196" s="119" t="s">
        <v>204</v>
      </c>
      <c r="H196" s="119" t="s">
        <v>1409</v>
      </c>
      <c r="I196" s="131">
        <v>1</v>
      </c>
      <c r="J196" s="141" t="s">
        <v>141</v>
      </c>
      <c r="K196" s="122" t="s">
        <v>943</v>
      </c>
      <c r="L196" s="48"/>
      <c r="M196" s="7"/>
      <c r="N196" s="7"/>
      <c r="O196" s="7"/>
      <c r="P196" s="7"/>
      <c r="Q196" s="7"/>
    </row>
    <row r="197" spans="2:17" customFormat="1" hidden="1">
      <c r="B197" s="119" t="s">
        <v>392</v>
      </c>
      <c r="C197" s="138" t="s">
        <v>2353</v>
      </c>
      <c r="D197" s="119" t="s">
        <v>140</v>
      </c>
      <c r="E197" s="283" t="s">
        <v>36</v>
      </c>
      <c r="F197" s="5">
        <v>514101</v>
      </c>
      <c r="G197" s="119" t="s">
        <v>197</v>
      </c>
      <c r="H197" s="119" t="s">
        <v>1409</v>
      </c>
      <c r="I197" s="131">
        <v>4</v>
      </c>
      <c r="J197" s="141" t="s">
        <v>141</v>
      </c>
      <c r="K197" s="122" t="s">
        <v>943</v>
      </c>
      <c r="L197" s="48"/>
      <c r="M197" s="7"/>
      <c r="N197" s="7"/>
      <c r="O197" s="7"/>
      <c r="P197" s="7"/>
      <c r="Q197" s="7"/>
    </row>
    <row r="198" spans="2:17" customFormat="1" hidden="1">
      <c r="B198" s="119" t="s">
        <v>393</v>
      </c>
      <c r="C198" s="138" t="s">
        <v>2353</v>
      </c>
      <c r="D198" s="119" t="s">
        <v>140</v>
      </c>
      <c r="E198" s="283" t="s">
        <v>45</v>
      </c>
      <c r="F198" s="119">
        <v>522301</v>
      </c>
      <c r="G198" s="119" t="s">
        <v>200</v>
      </c>
      <c r="H198" s="119" t="s">
        <v>1434</v>
      </c>
      <c r="I198" s="131">
        <v>2</v>
      </c>
      <c r="J198" s="141" t="s">
        <v>141</v>
      </c>
      <c r="K198" s="221" t="s">
        <v>943</v>
      </c>
      <c r="L198" s="48"/>
      <c r="M198" s="7"/>
      <c r="N198" s="7"/>
      <c r="O198" s="7"/>
      <c r="P198" s="7"/>
      <c r="Q198" s="7"/>
    </row>
    <row r="199" spans="2:17" customFormat="1" hidden="1">
      <c r="B199" s="119" t="s">
        <v>394</v>
      </c>
      <c r="C199" s="138" t="s">
        <v>2353</v>
      </c>
      <c r="D199" s="119" t="s">
        <v>140</v>
      </c>
      <c r="E199" s="130" t="s">
        <v>52</v>
      </c>
      <c r="F199" s="119">
        <v>721306</v>
      </c>
      <c r="G199" s="119" t="s">
        <v>569</v>
      </c>
      <c r="H199" s="119" t="s">
        <v>1349</v>
      </c>
      <c r="I199" s="131">
        <v>3</v>
      </c>
      <c r="J199" s="141" t="s">
        <v>229</v>
      </c>
      <c r="K199" s="221" t="s">
        <v>105</v>
      </c>
      <c r="L199" s="49"/>
      <c r="M199" s="7"/>
      <c r="N199" s="7"/>
      <c r="O199" s="7"/>
      <c r="P199" s="7"/>
      <c r="Q199" s="7"/>
    </row>
    <row r="200" spans="2:17" customFormat="1" ht="18" hidden="1" customHeight="1">
      <c r="B200" s="119" t="s">
        <v>395</v>
      </c>
      <c r="C200" s="138" t="s">
        <v>2353</v>
      </c>
      <c r="D200" s="116" t="s">
        <v>140</v>
      </c>
      <c r="E200" s="122" t="s">
        <v>103</v>
      </c>
      <c r="F200" s="120">
        <v>722307</v>
      </c>
      <c r="G200" s="120" t="s">
        <v>244</v>
      </c>
      <c r="H200" s="120" t="s">
        <v>1344</v>
      </c>
      <c r="I200" s="137">
        <v>4</v>
      </c>
      <c r="J200" s="141" t="s">
        <v>229</v>
      </c>
      <c r="K200" s="221" t="s">
        <v>105</v>
      </c>
      <c r="L200" s="49"/>
      <c r="M200" s="7"/>
      <c r="N200" s="7"/>
      <c r="O200" s="7"/>
      <c r="P200" s="7"/>
      <c r="Q200" s="7"/>
    </row>
    <row r="201" spans="2:17" customFormat="1" hidden="1">
      <c r="B201" s="119" t="s">
        <v>396</v>
      </c>
      <c r="C201" s="138" t="s">
        <v>2353</v>
      </c>
      <c r="D201" s="116" t="s">
        <v>140</v>
      </c>
      <c r="E201" s="130" t="s">
        <v>53</v>
      </c>
      <c r="F201" s="120">
        <v>741203</v>
      </c>
      <c r="G201" s="120" t="s">
        <v>232</v>
      </c>
      <c r="H201" s="120" t="s">
        <v>1344</v>
      </c>
      <c r="I201" s="137">
        <v>2</v>
      </c>
      <c r="J201" s="141" t="s">
        <v>229</v>
      </c>
      <c r="K201" s="221" t="s">
        <v>105</v>
      </c>
      <c r="L201" s="49"/>
      <c r="M201" s="7"/>
      <c r="N201" s="7"/>
      <c r="O201" s="7"/>
      <c r="P201" s="7"/>
      <c r="Q201" s="7"/>
    </row>
    <row r="202" spans="2:17" customFormat="1" hidden="1">
      <c r="B202" s="119" t="s">
        <v>397</v>
      </c>
      <c r="C202" s="130" t="s">
        <v>284</v>
      </c>
      <c r="D202" s="119" t="s">
        <v>285</v>
      </c>
      <c r="E202" s="130" t="s">
        <v>53</v>
      </c>
      <c r="F202" s="119">
        <v>741203</v>
      </c>
      <c r="G202" s="119" t="s">
        <v>232</v>
      </c>
      <c r="H202" s="119" t="s">
        <v>1344</v>
      </c>
      <c r="I202" s="131">
        <v>1</v>
      </c>
      <c r="J202" s="141" t="s">
        <v>229</v>
      </c>
      <c r="K202" s="122" t="s">
        <v>105</v>
      </c>
      <c r="L202" s="49"/>
      <c r="M202" s="7"/>
      <c r="N202" s="7"/>
      <c r="O202" s="7"/>
      <c r="P202" s="7"/>
      <c r="Q202" s="7"/>
    </row>
    <row r="203" spans="2:17" customFormat="1" hidden="1">
      <c r="B203" s="119" t="s">
        <v>398</v>
      </c>
      <c r="C203" s="130" t="s">
        <v>284</v>
      </c>
      <c r="D203" s="119" t="s">
        <v>285</v>
      </c>
      <c r="E203" s="283" t="s">
        <v>45</v>
      </c>
      <c r="F203" s="119">
        <v>522301</v>
      </c>
      <c r="G203" s="119" t="s">
        <v>200</v>
      </c>
      <c r="H203" s="119" t="s">
        <v>2394</v>
      </c>
      <c r="I203" s="131">
        <v>2</v>
      </c>
      <c r="J203" s="141" t="s">
        <v>229</v>
      </c>
      <c r="K203" s="122" t="s">
        <v>105</v>
      </c>
      <c r="L203" s="49"/>
      <c r="M203" s="7"/>
      <c r="N203" s="7"/>
      <c r="O203" s="7"/>
      <c r="P203" s="7"/>
      <c r="Q203" s="7"/>
    </row>
    <row r="204" spans="2:17" customFormat="1" hidden="1">
      <c r="B204" s="119" t="s">
        <v>399</v>
      </c>
      <c r="C204" s="130" t="s">
        <v>284</v>
      </c>
      <c r="D204" s="119" t="s">
        <v>285</v>
      </c>
      <c r="E204" s="130" t="s">
        <v>38</v>
      </c>
      <c r="F204" s="119">
        <v>741103</v>
      </c>
      <c r="G204" s="119" t="s">
        <v>205</v>
      </c>
      <c r="H204" s="119" t="s">
        <v>1343</v>
      </c>
      <c r="I204" s="131">
        <v>1</v>
      </c>
      <c r="J204" s="141" t="s">
        <v>229</v>
      </c>
      <c r="K204" s="122" t="s">
        <v>105</v>
      </c>
      <c r="L204" s="49"/>
      <c r="M204" s="7"/>
      <c r="N204" s="7"/>
      <c r="O204" s="7"/>
      <c r="P204" s="7"/>
      <c r="Q204" s="7"/>
    </row>
    <row r="205" spans="2:17" customFormat="1" hidden="1">
      <c r="B205" s="119" t="s">
        <v>400</v>
      </c>
      <c r="C205" s="130" t="s">
        <v>284</v>
      </c>
      <c r="D205" s="119" t="s">
        <v>285</v>
      </c>
      <c r="E205" s="130" t="s">
        <v>44</v>
      </c>
      <c r="F205" s="119">
        <v>512001</v>
      </c>
      <c r="G205" s="119" t="s">
        <v>203</v>
      </c>
      <c r="H205" s="119" t="s">
        <v>1345</v>
      </c>
      <c r="I205" s="319">
        <v>0</v>
      </c>
      <c r="J205" s="141" t="s">
        <v>229</v>
      </c>
      <c r="K205" s="122"/>
      <c r="L205" s="49"/>
      <c r="M205" s="7"/>
      <c r="N205" s="7"/>
      <c r="O205" s="7"/>
      <c r="P205" s="7"/>
      <c r="Q205" s="7"/>
    </row>
    <row r="206" spans="2:17" customFormat="1" hidden="1">
      <c r="B206" s="119" t="s">
        <v>401</v>
      </c>
      <c r="C206" s="130" t="s">
        <v>284</v>
      </c>
      <c r="D206" s="119" t="s">
        <v>285</v>
      </c>
      <c r="E206" s="283" t="s">
        <v>36</v>
      </c>
      <c r="F206" s="119">
        <v>514101</v>
      </c>
      <c r="G206" s="119" t="s">
        <v>197</v>
      </c>
      <c r="H206" s="133" t="s">
        <v>1347</v>
      </c>
      <c r="I206" s="131">
        <v>1</v>
      </c>
      <c r="J206" s="141" t="s">
        <v>229</v>
      </c>
      <c r="K206" s="122" t="s">
        <v>105</v>
      </c>
      <c r="L206" s="49"/>
      <c r="M206" s="7"/>
      <c r="N206" s="7"/>
      <c r="O206" s="7"/>
      <c r="P206" s="7"/>
      <c r="Q206" s="7"/>
    </row>
    <row r="207" spans="2:17" customFormat="1" hidden="1">
      <c r="B207" s="119" t="s">
        <v>402</v>
      </c>
      <c r="C207" s="130" t="s">
        <v>284</v>
      </c>
      <c r="D207" s="119" t="s">
        <v>285</v>
      </c>
      <c r="E207" s="130" t="s">
        <v>103</v>
      </c>
      <c r="F207" s="119">
        <v>722307</v>
      </c>
      <c r="G207" s="119" t="s">
        <v>244</v>
      </c>
      <c r="H207" s="119" t="s">
        <v>1344</v>
      </c>
      <c r="I207" s="131">
        <v>2</v>
      </c>
      <c r="J207" s="141" t="s">
        <v>229</v>
      </c>
      <c r="K207" s="122" t="s">
        <v>105</v>
      </c>
      <c r="L207" s="49"/>
      <c r="M207" s="7"/>
      <c r="N207" s="7"/>
      <c r="O207" s="7"/>
      <c r="P207" s="7"/>
      <c r="Q207" s="7"/>
    </row>
    <row r="208" spans="2:17" customFormat="1" hidden="1">
      <c r="B208" s="119" t="s">
        <v>403</v>
      </c>
      <c r="C208" s="130" t="s">
        <v>284</v>
      </c>
      <c r="D208" s="119" t="s">
        <v>285</v>
      </c>
      <c r="E208" s="130" t="s">
        <v>34</v>
      </c>
      <c r="F208" s="119">
        <v>723103</v>
      </c>
      <c r="G208" s="119" t="s">
        <v>201</v>
      </c>
      <c r="H208" s="133" t="s">
        <v>1347</v>
      </c>
      <c r="I208" s="131">
        <v>1</v>
      </c>
      <c r="J208" s="141" t="s">
        <v>229</v>
      </c>
      <c r="K208" s="122" t="s">
        <v>105</v>
      </c>
      <c r="L208" s="49"/>
      <c r="M208" s="7"/>
      <c r="N208" s="7"/>
      <c r="O208" s="7"/>
      <c r="P208" s="7"/>
      <c r="Q208" s="7"/>
    </row>
    <row r="209" spans="2:17" customFormat="1" hidden="1">
      <c r="B209" s="119" t="s">
        <v>404</v>
      </c>
      <c r="C209" s="130" t="s">
        <v>495</v>
      </c>
      <c r="D209" s="119" t="s">
        <v>496</v>
      </c>
      <c r="E209" s="130" t="s">
        <v>44</v>
      </c>
      <c r="F209" s="119">
        <v>512001</v>
      </c>
      <c r="G209" s="119" t="s">
        <v>203</v>
      </c>
      <c r="H209" s="6" t="s">
        <v>1410</v>
      </c>
      <c r="I209" s="131">
        <v>11</v>
      </c>
      <c r="J209" s="141" t="s">
        <v>589</v>
      </c>
      <c r="K209" s="122" t="s">
        <v>849</v>
      </c>
      <c r="L209" s="47"/>
      <c r="M209" s="7"/>
      <c r="N209" s="18"/>
      <c r="O209" s="7"/>
      <c r="P209" s="7"/>
      <c r="Q209" s="7"/>
    </row>
    <row r="210" spans="2:17" customFormat="1" hidden="1">
      <c r="B210" s="119" t="s">
        <v>405</v>
      </c>
      <c r="C210" s="130" t="s">
        <v>495</v>
      </c>
      <c r="D210" s="119" t="s">
        <v>496</v>
      </c>
      <c r="E210" s="130" t="s">
        <v>37</v>
      </c>
      <c r="F210" s="119">
        <v>751201</v>
      </c>
      <c r="G210" s="119" t="s">
        <v>866</v>
      </c>
      <c r="H210" s="119"/>
      <c r="I210" s="319">
        <v>0</v>
      </c>
      <c r="J210" s="141" t="s">
        <v>229</v>
      </c>
      <c r="K210" s="221"/>
      <c r="L210" s="48"/>
      <c r="M210" s="7"/>
      <c r="N210" s="18"/>
      <c r="O210" s="7"/>
      <c r="P210" s="7"/>
      <c r="Q210" s="7"/>
    </row>
    <row r="211" spans="2:17" customFormat="1" hidden="1">
      <c r="B211" s="119" t="s">
        <v>406</v>
      </c>
      <c r="C211" s="130" t="s">
        <v>495</v>
      </c>
      <c r="D211" s="119" t="s">
        <v>496</v>
      </c>
      <c r="E211" s="130" t="s">
        <v>206</v>
      </c>
      <c r="F211" s="119">
        <v>722204</v>
      </c>
      <c r="G211" s="119" t="s">
        <v>207</v>
      </c>
      <c r="H211" s="119" t="s">
        <v>1345</v>
      </c>
      <c r="I211" s="131">
        <v>3</v>
      </c>
      <c r="J211" s="141" t="s">
        <v>229</v>
      </c>
      <c r="K211" s="122" t="s">
        <v>105</v>
      </c>
      <c r="L211" s="49"/>
      <c r="M211" s="7"/>
      <c r="N211" s="7"/>
      <c r="O211" s="7"/>
      <c r="P211" s="7"/>
      <c r="Q211" s="7"/>
    </row>
    <row r="212" spans="2:17" customFormat="1" hidden="1">
      <c r="B212" s="119" t="s">
        <v>407</v>
      </c>
      <c r="C212" s="130" t="s">
        <v>495</v>
      </c>
      <c r="D212" s="119" t="s">
        <v>496</v>
      </c>
      <c r="E212" s="130" t="s">
        <v>38</v>
      </c>
      <c r="F212" s="119">
        <v>741103</v>
      </c>
      <c r="G212" s="119" t="s">
        <v>205</v>
      </c>
      <c r="H212" s="119" t="s">
        <v>1343</v>
      </c>
      <c r="I212" s="131">
        <v>1</v>
      </c>
      <c r="J212" s="141" t="s">
        <v>229</v>
      </c>
      <c r="K212" s="122" t="s">
        <v>105</v>
      </c>
      <c r="L212" s="49"/>
      <c r="M212" s="7"/>
      <c r="N212" s="7"/>
      <c r="O212" s="7"/>
      <c r="P212" s="7"/>
      <c r="Q212" s="7"/>
    </row>
    <row r="213" spans="2:17" customFormat="1" hidden="1">
      <c r="B213" s="119" t="s">
        <v>408</v>
      </c>
      <c r="C213" s="130" t="s">
        <v>497</v>
      </c>
      <c r="D213" s="119" t="s">
        <v>498</v>
      </c>
      <c r="E213" s="130" t="s">
        <v>52</v>
      </c>
      <c r="F213" s="119">
        <v>721306</v>
      </c>
      <c r="G213" s="119" t="s">
        <v>569</v>
      </c>
      <c r="H213" s="119" t="s">
        <v>1349</v>
      </c>
      <c r="I213" s="131">
        <v>2</v>
      </c>
      <c r="J213" s="141" t="s">
        <v>229</v>
      </c>
      <c r="K213" s="122" t="s">
        <v>105</v>
      </c>
      <c r="L213" s="49"/>
      <c r="M213" s="7"/>
      <c r="N213" s="7"/>
      <c r="O213" s="7"/>
      <c r="P213" s="7"/>
      <c r="Q213" s="7"/>
    </row>
    <row r="214" spans="2:17" customFormat="1" hidden="1">
      <c r="B214" s="119" t="s">
        <v>409</v>
      </c>
      <c r="C214" s="130" t="s">
        <v>497</v>
      </c>
      <c r="D214" s="119" t="s">
        <v>498</v>
      </c>
      <c r="E214" s="130" t="s">
        <v>215</v>
      </c>
      <c r="F214" s="119">
        <v>514101</v>
      </c>
      <c r="G214" s="119" t="s">
        <v>866</v>
      </c>
      <c r="H214" s="119" t="s">
        <v>1345</v>
      </c>
      <c r="I214" s="319">
        <v>0</v>
      </c>
      <c r="J214" s="141" t="s">
        <v>229</v>
      </c>
      <c r="K214" s="122"/>
      <c r="L214" s="49"/>
      <c r="M214" s="7"/>
      <c r="N214" s="7"/>
      <c r="O214" s="7"/>
      <c r="P214" s="7"/>
      <c r="Q214" s="7"/>
    </row>
    <row r="215" spans="2:17" customFormat="1" hidden="1">
      <c r="B215" s="119" t="s">
        <v>410</v>
      </c>
      <c r="C215" s="130" t="s">
        <v>497</v>
      </c>
      <c r="D215" s="119" t="s">
        <v>498</v>
      </c>
      <c r="E215" s="130" t="s">
        <v>53</v>
      </c>
      <c r="F215" s="119">
        <v>741203</v>
      </c>
      <c r="G215" s="119" t="s">
        <v>232</v>
      </c>
      <c r="H215" s="119" t="s">
        <v>1344</v>
      </c>
      <c r="I215" s="131">
        <v>2</v>
      </c>
      <c r="J215" s="141" t="s">
        <v>229</v>
      </c>
      <c r="K215" s="122" t="s">
        <v>105</v>
      </c>
      <c r="L215" s="49"/>
      <c r="M215" s="7"/>
      <c r="N215" s="7"/>
      <c r="O215" s="7"/>
      <c r="P215" s="7"/>
      <c r="Q215" s="7"/>
    </row>
    <row r="216" spans="2:17" customFormat="1" hidden="1">
      <c r="B216" s="119" t="s">
        <v>411</v>
      </c>
      <c r="C216" s="130" t="s">
        <v>497</v>
      </c>
      <c r="D216" s="119" t="s">
        <v>498</v>
      </c>
      <c r="E216" s="130" t="s">
        <v>38</v>
      </c>
      <c r="F216" s="119">
        <v>741103</v>
      </c>
      <c r="G216" s="119" t="s">
        <v>205</v>
      </c>
      <c r="H216" s="119" t="s">
        <v>1343</v>
      </c>
      <c r="I216" s="131">
        <v>1</v>
      </c>
      <c r="J216" s="141" t="s">
        <v>229</v>
      </c>
      <c r="K216" s="122" t="s">
        <v>105</v>
      </c>
      <c r="L216" s="49"/>
      <c r="M216" s="7"/>
      <c r="N216" s="7"/>
      <c r="O216" s="7"/>
      <c r="P216" s="7"/>
      <c r="Q216" s="7"/>
    </row>
    <row r="217" spans="2:17" customFormat="1" hidden="1">
      <c r="B217" s="119" t="s">
        <v>412</v>
      </c>
      <c r="C217" s="130" t="s">
        <v>497</v>
      </c>
      <c r="D217" s="119" t="s">
        <v>498</v>
      </c>
      <c r="E217" s="130" t="s">
        <v>144</v>
      </c>
      <c r="F217" s="119">
        <v>712618</v>
      </c>
      <c r="G217" s="119" t="s">
        <v>199</v>
      </c>
      <c r="H217" s="119" t="s">
        <v>1343</v>
      </c>
      <c r="I217" s="131">
        <v>1</v>
      </c>
      <c r="J217" s="141" t="s">
        <v>229</v>
      </c>
      <c r="K217" s="122" t="s">
        <v>105</v>
      </c>
      <c r="L217" s="49"/>
      <c r="M217" s="7"/>
      <c r="N217" s="7"/>
      <c r="O217" s="7"/>
      <c r="P217" s="7"/>
      <c r="Q217" s="7"/>
    </row>
    <row r="218" spans="2:17" customFormat="1" hidden="1">
      <c r="B218" s="119" t="s">
        <v>413</v>
      </c>
      <c r="C218" s="130" t="s">
        <v>497</v>
      </c>
      <c r="D218" s="119" t="s">
        <v>498</v>
      </c>
      <c r="E218" s="130" t="s">
        <v>39</v>
      </c>
      <c r="F218" s="119">
        <v>711204</v>
      </c>
      <c r="G218" s="119" t="s">
        <v>196</v>
      </c>
      <c r="H218" s="119" t="s">
        <v>2394</v>
      </c>
      <c r="I218" s="131">
        <v>2</v>
      </c>
      <c r="J218" s="141" t="s">
        <v>229</v>
      </c>
      <c r="K218" s="122" t="s">
        <v>105</v>
      </c>
      <c r="L218" s="49"/>
      <c r="M218" s="7"/>
      <c r="N218" s="7"/>
      <c r="O218" s="7"/>
      <c r="P218" s="7"/>
      <c r="Q218" s="7"/>
    </row>
    <row r="219" spans="2:17" customFormat="1" hidden="1">
      <c r="B219" s="119" t="s">
        <v>414</v>
      </c>
      <c r="C219" s="130" t="s">
        <v>497</v>
      </c>
      <c r="D219" s="119" t="s">
        <v>498</v>
      </c>
      <c r="E219" s="283" t="s">
        <v>45</v>
      </c>
      <c r="F219" s="119">
        <v>522301</v>
      </c>
      <c r="G219" s="119" t="s">
        <v>200</v>
      </c>
      <c r="H219" s="119" t="s">
        <v>2394</v>
      </c>
      <c r="I219" s="131">
        <v>2</v>
      </c>
      <c r="J219" s="141" t="s">
        <v>229</v>
      </c>
      <c r="K219" s="122" t="s">
        <v>105</v>
      </c>
      <c r="L219" s="49"/>
      <c r="M219" s="7"/>
      <c r="N219" s="7"/>
      <c r="O219" s="7"/>
      <c r="P219" s="7"/>
      <c r="Q219" s="7"/>
    </row>
    <row r="220" spans="2:17" customFormat="1" hidden="1">
      <c r="B220" s="119" t="s">
        <v>415</v>
      </c>
      <c r="C220" s="130" t="s">
        <v>497</v>
      </c>
      <c r="D220" s="119" t="s">
        <v>498</v>
      </c>
      <c r="E220" s="130" t="s">
        <v>33</v>
      </c>
      <c r="F220" s="119">
        <v>751201</v>
      </c>
      <c r="G220" s="119" t="s">
        <v>204</v>
      </c>
      <c r="H220" s="119" t="s">
        <v>1349</v>
      </c>
      <c r="I220" s="131">
        <v>1</v>
      </c>
      <c r="J220" s="141" t="s">
        <v>229</v>
      </c>
      <c r="K220" s="122" t="s">
        <v>105</v>
      </c>
      <c r="L220" s="49"/>
      <c r="M220" s="7"/>
      <c r="N220" s="7"/>
      <c r="O220" s="7"/>
      <c r="P220" s="7"/>
      <c r="Q220" s="7"/>
    </row>
    <row r="221" spans="2:17" customFormat="1" hidden="1">
      <c r="B221" s="119" t="s">
        <v>416</v>
      </c>
      <c r="C221" s="130" t="s">
        <v>497</v>
      </c>
      <c r="D221" s="119" t="s">
        <v>498</v>
      </c>
      <c r="E221" s="130" t="s">
        <v>206</v>
      </c>
      <c r="F221" s="119">
        <v>741103</v>
      </c>
      <c r="G221" s="119" t="s">
        <v>207</v>
      </c>
      <c r="H221" s="119" t="s">
        <v>1345</v>
      </c>
      <c r="I221" s="131">
        <v>2</v>
      </c>
      <c r="J221" s="141" t="s">
        <v>229</v>
      </c>
      <c r="K221" s="122" t="s">
        <v>105</v>
      </c>
      <c r="L221" s="49"/>
      <c r="M221" s="7"/>
      <c r="N221" s="7"/>
      <c r="O221" s="7"/>
      <c r="P221" s="7"/>
      <c r="Q221" s="7"/>
    </row>
    <row r="222" spans="2:17" customFormat="1" hidden="1">
      <c r="B222" s="119" t="s">
        <v>417</v>
      </c>
      <c r="C222" s="130" t="s">
        <v>497</v>
      </c>
      <c r="D222" s="119" t="s">
        <v>498</v>
      </c>
      <c r="E222" s="283" t="s">
        <v>36</v>
      </c>
      <c r="F222" s="119">
        <v>514101</v>
      </c>
      <c r="G222" s="119" t="s">
        <v>197</v>
      </c>
      <c r="H222" s="119" t="s">
        <v>1405</v>
      </c>
      <c r="I222" s="131">
        <v>14</v>
      </c>
      <c r="J222" s="149" t="s">
        <v>499</v>
      </c>
      <c r="K222" s="122" t="s">
        <v>945</v>
      </c>
      <c r="L222" s="48"/>
      <c r="M222" s="7"/>
      <c r="N222" s="7"/>
      <c r="O222" s="7"/>
      <c r="P222" s="7"/>
      <c r="Q222" s="7"/>
    </row>
    <row r="223" spans="2:17" customFormat="1" hidden="1">
      <c r="B223" s="119" t="s">
        <v>418</v>
      </c>
      <c r="C223" s="130" t="s">
        <v>497</v>
      </c>
      <c r="D223" s="119" t="s">
        <v>498</v>
      </c>
      <c r="E223" s="130" t="s">
        <v>34</v>
      </c>
      <c r="F223" s="119">
        <v>723103</v>
      </c>
      <c r="G223" s="119" t="s">
        <v>201</v>
      </c>
      <c r="H223" s="119" t="s">
        <v>1405</v>
      </c>
      <c r="I223" s="131">
        <v>6</v>
      </c>
      <c r="J223" s="149" t="s">
        <v>499</v>
      </c>
      <c r="K223" s="122" t="s">
        <v>945</v>
      </c>
      <c r="L223" s="48"/>
      <c r="M223" s="7"/>
      <c r="N223" s="7"/>
      <c r="O223" s="7"/>
      <c r="P223" s="7"/>
      <c r="Q223" s="7"/>
    </row>
    <row r="224" spans="2:17" customFormat="1" hidden="1">
      <c r="B224" s="119" t="s">
        <v>419</v>
      </c>
      <c r="C224" s="130" t="s">
        <v>517</v>
      </c>
      <c r="D224" s="119" t="s">
        <v>260</v>
      </c>
      <c r="E224" s="130" t="s">
        <v>206</v>
      </c>
      <c r="F224" s="119">
        <v>722204</v>
      </c>
      <c r="G224" s="119" t="s">
        <v>207</v>
      </c>
      <c r="H224" s="295" t="s">
        <v>2260</v>
      </c>
      <c r="I224" s="131">
        <v>14</v>
      </c>
      <c r="J224" s="141" t="s">
        <v>228</v>
      </c>
      <c r="K224" s="122" t="s">
        <v>104</v>
      </c>
      <c r="L224" s="50"/>
      <c r="M224" s="14"/>
      <c r="N224" s="7"/>
      <c r="O224" s="7"/>
      <c r="P224" s="7"/>
      <c r="Q224" s="7"/>
    </row>
    <row r="225" spans="2:17" customFormat="1" hidden="1">
      <c r="B225" s="119" t="s">
        <v>420</v>
      </c>
      <c r="C225" s="130" t="s">
        <v>517</v>
      </c>
      <c r="D225" s="119" t="s">
        <v>260</v>
      </c>
      <c r="E225" s="130" t="s">
        <v>53</v>
      </c>
      <c r="F225" s="119">
        <v>741203</v>
      </c>
      <c r="G225" s="119" t="s">
        <v>232</v>
      </c>
      <c r="H225" s="119" t="s">
        <v>1344</v>
      </c>
      <c r="I225" s="131">
        <v>6</v>
      </c>
      <c r="J225" s="141" t="s">
        <v>229</v>
      </c>
      <c r="K225" s="122" t="s">
        <v>105</v>
      </c>
      <c r="L225" s="49"/>
      <c r="M225" s="7"/>
      <c r="N225" s="7"/>
      <c r="O225" s="7"/>
      <c r="P225" s="7"/>
      <c r="Q225" s="7"/>
    </row>
    <row r="226" spans="2:17" customFormat="1" hidden="1">
      <c r="B226" s="119" t="s">
        <v>421</v>
      </c>
      <c r="C226" s="130" t="s">
        <v>517</v>
      </c>
      <c r="D226" s="119" t="s">
        <v>260</v>
      </c>
      <c r="E226" s="130" t="s">
        <v>521</v>
      </c>
      <c r="F226" s="119">
        <v>713201</v>
      </c>
      <c r="G226" s="119" t="s">
        <v>209</v>
      </c>
      <c r="H226" s="220" t="s">
        <v>1349</v>
      </c>
      <c r="I226" s="131">
        <v>2</v>
      </c>
      <c r="J226" s="141" t="s">
        <v>229</v>
      </c>
      <c r="K226" s="122" t="s">
        <v>105</v>
      </c>
      <c r="L226" s="55"/>
      <c r="M226" s="7"/>
      <c r="N226" s="7"/>
      <c r="O226" s="7"/>
      <c r="P226" s="7"/>
      <c r="Q226" s="7"/>
    </row>
    <row r="227" spans="2:17" customFormat="1" hidden="1">
      <c r="B227" s="119" t="s">
        <v>422</v>
      </c>
      <c r="C227" s="130" t="s">
        <v>517</v>
      </c>
      <c r="D227" s="119" t="s">
        <v>260</v>
      </c>
      <c r="E227" s="130" t="s">
        <v>82</v>
      </c>
      <c r="F227" s="119">
        <v>722307</v>
      </c>
      <c r="G227" s="119" t="s">
        <v>244</v>
      </c>
      <c r="H227" s="295" t="s">
        <v>1405</v>
      </c>
      <c r="I227" s="131">
        <v>6</v>
      </c>
      <c r="J227" s="141" t="s">
        <v>228</v>
      </c>
      <c r="K227" s="122" t="s">
        <v>104</v>
      </c>
      <c r="L227" s="50"/>
      <c r="M227" s="14"/>
      <c r="N227" s="7"/>
      <c r="O227" s="7"/>
      <c r="P227" s="7"/>
      <c r="Q227" s="7"/>
    </row>
    <row r="228" spans="2:17" customFormat="1" hidden="1">
      <c r="B228" s="119" t="s">
        <v>423</v>
      </c>
      <c r="C228" s="130" t="s">
        <v>522</v>
      </c>
      <c r="D228" s="119" t="s">
        <v>523</v>
      </c>
      <c r="E228" s="130" t="s">
        <v>103</v>
      </c>
      <c r="F228" s="5">
        <v>722307</v>
      </c>
      <c r="G228" s="119" t="s">
        <v>244</v>
      </c>
      <c r="H228" s="152" t="s">
        <v>1348</v>
      </c>
      <c r="I228" s="131">
        <v>4</v>
      </c>
      <c r="J228" s="141" t="s">
        <v>229</v>
      </c>
      <c r="K228" s="122" t="s">
        <v>105</v>
      </c>
      <c r="L228" s="49"/>
      <c r="M228" s="7"/>
      <c r="N228" s="7"/>
      <c r="O228" s="7"/>
      <c r="P228" s="7"/>
      <c r="Q228" s="7"/>
    </row>
    <row r="229" spans="2:17" customFormat="1" hidden="1">
      <c r="B229" s="119" t="s">
        <v>424</v>
      </c>
      <c r="C229" s="130" t="s">
        <v>522</v>
      </c>
      <c r="D229" s="119" t="s">
        <v>523</v>
      </c>
      <c r="E229" s="130" t="s">
        <v>34</v>
      </c>
      <c r="F229" s="119">
        <v>723103</v>
      </c>
      <c r="G229" s="119" t="s">
        <v>201</v>
      </c>
      <c r="H229" s="133" t="s">
        <v>1347</v>
      </c>
      <c r="I229" s="131">
        <v>10</v>
      </c>
      <c r="J229" s="141" t="s">
        <v>229</v>
      </c>
      <c r="K229" s="122" t="s">
        <v>105</v>
      </c>
      <c r="L229" s="49"/>
      <c r="M229" s="7"/>
      <c r="N229" s="7"/>
      <c r="O229" s="7"/>
      <c r="P229" s="7"/>
      <c r="Q229" s="7"/>
    </row>
    <row r="230" spans="2:17" customFormat="1" hidden="1">
      <c r="B230" s="119" t="s">
        <v>425</v>
      </c>
      <c r="C230" s="130" t="s">
        <v>522</v>
      </c>
      <c r="D230" s="119" t="s">
        <v>523</v>
      </c>
      <c r="E230" s="130" t="s">
        <v>525</v>
      </c>
      <c r="F230" s="5">
        <v>732201</v>
      </c>
      <c r="G230" s="340" t="s">
        <v>859</v>
      </c>
      <c r="H230" s="119" t="s">
        <v>1325</v>
      </c>
      <c r="I230" s="131">
        <v>1</v>
      </c>
      <c r="J230" s="141" t="s">
        <v>195</v>
      </c>
      <c r="K230" s="122" t="s">
        <v>41</v>
      </c>
      <c r="L230" s="48"/>
      <c r="M230" s="7"/>
      <c r="N230" s="7"/>
      <c r="O230" s="7"/>
      <c r="P230" s="7"/>
      <c r="Q230" s="7"/>
    </row>
    <row r="231" spans="2:17" customFormat="1" hidden="1">
      <c r="B231" s="119" t="s">
        <v>426</v>
      </c>
      <c r="C231" s="130" t="s">
        <v>522</v>
      </c>
      <c r="D231" s="119" t="s">
        <v>523</v>
      </c>
      <c r="E231" s="130" t="s">
        <v>39</v>
      </c>
      <c r="F231" s="5">
        <v>711204</v>
      </c>
      <c r="G231" s="119" t="s">
        <v>196</v>
      </c>
      <c r="H231" s="119" t="s">
        <v>2394</v>
      </c>
      <c r="I231" s="131">
        <v>1</v>
      </c>
      <c r="J231" s="141" t="s">
        <v>229</v>
      </c>
      <c r="K231" s="122" t="s">
        <v>105</v>
      </c>
      <c r="L231" s="49"/>
      <c r="M231" s="7"/>
      <c r="N231" s="7"/>
      <c r="O231" s="7"/>
      <c r="P231" s="7"/>
      <c r="Q231" s="7"/>
    </row>
    <row r="232" spans="2:17" customFormat="1" hidden="1">
      <c r="B232" s="119" t="s">
        <v>427</v>
      </c>
      <c r="C232" s="130" t="s">
        <v>522</v>
      </c>
      <c r="D232" s="119" t="s">
        <v>523</v>
      </c>
      <c r="E232" s="130" t="s">
        <v>144</v>
      </c>
      <c r="F232" s="5">
        <v>712618</v>
      </c>
      <c r="G232" s="119" t="s">
        <v>199</v>
      </c>
      <c r="H232" s="119" t="s">
        <v>1343</v>
      </c>
      <c r="I232" s="131">
        <v>1</v>
      </c>
      <c r="J232" s="141" t="s">
        <v>229</v>
      </c>
      <c r="K232" s="122" t="s">
        <v>105</v>
      </c>
      <c r="L232" s="49"/>
      <c r="M232" s="7"/>
      <c r="N232" s="7"/>
      <c r="O232" s="7"/>
      <c r="P232" s="7"/>
      <c r="Q232" s="7"/>
    </row>
    <row r="233" spans="2:17" customFormat="1" hidden="1">
      <c r="B233" s="119" t="s">
        <v>428</v>
      </c>
      <c r="C233" s="130" t="s">
        <v>522</v>
      </c>
      <c r="D233" s="119" t="s">
        <v>523</v>
      </c>
      <c r="E233" s="130" t="s">
        <v>38</v>
      </c>
      <c r="F233" s="5">
        <v>741103</v>
      </c>
      <c r="G233" s="119" t="s">
        <v>205</v>
      </c>
      <c r="H233" s="119" t="s">
        <v>1343</v>
      </c>
      <c r="I233" s="131">
        <v>1</v>
      </c>
      <c r="J233" s="141" t="s">
        <v>229</v>
      </c>
      <c r="K233" s="122" t="s">
        <v>105</v>
      </c>
      <c r="L233" s="49"/>
      <c r="M233" s="7"/>
      <c r="N233" s="7"/>
      <c r="O233" s="7"/>
      <c r="P233" s="7"/>
      <c r="Q233" s="7"/>
    </row>
    <row r="234" spans="2:17" hidden="1">
      <c r="B234" s="119" t="s">
        <v>429</v>
      </c>
      <c r="C234" s="283" t="s">
        <v>522</v>
      </c>
      <c r="D234" s="119" t="s">
        <v>523</v>
      </c>
      <c r="E234" s="283" t="s">
        <v>215</v>
      </c>
      <c r="F234" s="119">
        <v>751201</v>
      </c>
      <c r="G234" s="119" t="s">
        <v>866</v>
      </c>
      <c r="H234" s="158" t="s">
        <v>1421</v>
      </c>
      <c r="I234" s="131">
        <v>1</v>
      </c>
      <c r="J234" s="280" t="s">
        <v>116</v>
      </c>
      <c r="K234" s="207" t="s">
        <v>942</v>
      </c>
      <c r="L234" s="303"/>
      <c r="M234" s="10"/>
      <c r="N234" s="10"/>
      <c r="O234" s="10"/>
      <c r="P234" s="10"/>
      <c r="Q234" s="281"/>
    </row>
    <row r="235" spans="2:17" ht="30" hidden="1">
      <c r="B235" s="119" t="s">
        <v>430</v>
      </c>
      <c r="C235" s="283" t="s">
        <v>522</v>
      </c>
      <c r="D235" s="119" t="s">
        <v>523</v>
      </c>
      <c r="E235" s="130" t="s">
        <v>44</v>
      </c>
      <c r="F235" s="119">
        <v>512001</v>
      </c>
      <c r="G235" s="119" t="s">
        <v>203</v>
      </c>
      <c r="H235" s="132" t="s">
        <v>1419</v>
      </c>
      <c r="I235" s="131">
        <v>7</v>
      </c>
      <c r="J235" s="280" t="s">
        <v>116</v>
      </c>
      <c r="K235" s="207" t="s">
        <v>942</v>
      </c>
      <c r="L235" s="303"/>
      <c r="M235" s="10"/>
      <c r="N235" s="10"/>
      <c r="O235" s="10"/>
      <c r="P235" s="10"/>
      <c r="Q235" s="281"/>
    </row>
    <row r="236" spans="2:17" ht="15" hidden="1" customHeight="1">
      <c r="B236" s="119" t="s">
        <v>431</v>
      </c>
      <c r="C236" s="283" t="s">
        <v>522</v>
      </c>
      <c r="D236" s="119" t="s">
        <v>523</v>
      </c>
      <c r="E236" s="283" t="s">
        <v>57</v>
      </c>
      <c r="F236" s="119">
        <v>751204</v>
      </c>
      <c r="G236" s="119" t="s">
        <v>262</v>
      </c>
      <c r="H236" s="143" t="s">
        <v>1427</v>
      </c>
      <c r="I236" s="131">
        <v>1</v>
      </c>
      <c r="J236" s="280" t="s">
        <v>116</v>
      </c>
      <c r="K236" s="207" t="s">
        <v>942</v>
      </c>
      <c r="L236" s="303"/>
      <c r="M236" s="10"/>
      <c r="N236" s="10"/>
      <c r="O236" s="10"/>
      <c r="P236" s="10"/>
      <c r="Q236" s="281"/>
    </row>
    <row r="237" spans="2:17" hidden="1">
      <c r="B237" s="119" t="s">
        <v>432</v>
      </c>
      <c r="C237" s="283" t="s">
        <v>522</v>
      </c>
      <c r="D237" s="119" t="s">
        <v>523</v>
      </c>
      <c r="E237" s="283" t="s">
        <v>45</v>
      </c>
      <c r="F237" s="119">
        <v>522301</v>
      </c>
      <c r="G237" s="119" t="s">
        <v>200</v>
      </c>
      <c r="H237" s="143" t="s">
        <v>1427</v>
      </c>
      <c r="I237" s="131">
        <v>6</v>
      </c>
      <c r="J237" s="280" t="s">
        <v>116</v>
      </c>
      <c r="K237" s="207" t="s">
        <v>942</v>
      </c>
      <c r="L237" s="303"/>
      <c r="M237" s="10"/>
      <c r="N237" s="10"/>
      <c r="O237" s="10"/>
      <c r="P237" s="10"/>
      <c r="Q237" s="281"/>
    </row>
    <row r="238" spans="2:17" hidden="1">
      <c r="B238" s="119" t="s">
        <v>433</v>
      </c>
      <c r="C238" s="283" t="s">
        <v>522</v>
      </c>
      <c r="D238" s="119" t="s">
        <v>523</v>
      </c>
      <c r="E238" s="283" t="s">
        <v>36</v>
      </c>
      <c r="F238" s="119">
        <v>514101</v>
      </c>
      <c r="G238" s="119" t="s">
        <v>197</v>
      </c>
      <c r="H238" s="143" t="s">
        <v>1420</v>
      </c>
      <c r="I238" s="131">
        <v>7</v>
      </c>
      <c r="J238" s="280" t="s">
        <v>116</v>
      </c>
      <c r="K238" s="207" t="s">
        <v>942</v>
      </c>
      <c r="L238" s="303"/>
      <c r="M238" s="10"/>
      <c r="N238" s="10"/>
      <c r="O238" s="10"/>
      <c r="P238" s="10"/>
      <c r="Q238" s="281"/>
    </row>
    <row r="239" spans="2:17" hidden="1">
      <c r="B239" s="119" t="s">
        <v>434</v>
      </c>
      <c r="C239" s="283" t="s">
        <v>527</v>
      </c>
      <c r="D239" s="119" t="s">
        <v>528</v>
      </c>
      <c r="E239" s="130" t="s">
        <v>44</v>
      </c>
      <c r="F239" s="119">
        <v>512001</v>
      </c>
      <c r="G239" s="119" t="s">
        <v>203</v>
      </c>
      <c r="H239" s="132" t="s">
        <v>1420</v>
      </c>
      <c r="I239" s="131">
        <v>3</v>
      </c>
      <c r="J239" s="280" t="s">
        <v>116</v>
      </c>
      <c r="K239" s="207" t="s">
        <v>942</v>
      </c>
      <c r="L239" s="316"/>
      <c r="M239" s="10"/>
      <c r="N239" s="10"/>
      <c r="O239" s="10"/>
      <c r="P239" s="10"/>
      <c r="Q239" s="281"/>
    </row>
    <row r="240" spans="2:17" customFormat="1">
      <c r="B240" s="119" t="s">
        <v>435</v>
      </c>
      <c r="C240" s="130" t="s">
        <v>527</v>
      </c>
      <c r="D240" s="119" t="s">
        <v>528</v>
      </c>
      <c r="E240" s="130" t="s">
        <v>38</v>
      </c>
      <c r="F240" s="119">
        <v>741103</v>
      </c>
      <c r="G240" s="119" t="s">
        <v>205</v>
      </c>
      <c r="H240" s="120" t="s">
        <v>1325</v>
      </c>
      <c r="I240" s="131">
        <v>3</v>
      </c>
      <c r="J240" s="141" t="s">
        <v>61</v>
      </c>
      <c r="K240" s="122" t="s">
        <v>851</v>
      </c>
      <c r="L240" s="47"/>
      <c r="M240" s="7"/>
      <c r="N240" s="7"/>
      <c r="O240" s="7"/>
      <c r="P240" s="7"/>
      <c r="Q240" s="7"/>
    </row>
    <row r="241" spans="2:17" hidden="1">
      <c r="B241" s="119" t="s">
        <v>436</v>
      </c>
      <c r="C241" s="283" t="s">
        <v>527</v>
      </c>
      <c r="D241" s="119" t="s">
        <v>528</v>
      </c>
      <c r="E241" s="283" t="s">
        <v>37</v>
      </c>
      <c r="F241" s="119">
        <v>751201</v>
      </c>
      <c r="G241" s="119" t="s">
        <v>866</v>
      </c>
      <c r="H241" s="158" t="s">
        <v>1421</v>
      </c>
      <c r="I241" s="131">
        <v>4</v>
      </c>
      <c r="J241" s="280" t="s">
        <v>116</v>
      </c>
      <c r="K241" s="207" t="s">
        <v>942</v>
      </c>
      <c r="L241" s="316"/>
      <c r="M241" s="10"/>
      <c r="N241" s="10"/>
      <c r="O241" s="10"/>
      <c r="P241" s="10"/>
      <c r="Q241" s="281"/>
    </row>
    <row r="242" spans="2:17" ht="30" hidden="1">
      <c r="B242" s="119" t="s">
        <v>437</v>
      </c>
      <c r="C242" s="283" t="s">
        <v>527</v>
      </c>
      <c r="D242" s="119" t="s">
        <v>528</v>
      </c>
      <c r="E242" s="283" t="s">
        <v>45</v>
      </c>
      <c r="F242" s="119">
        <v>522301</v>
      </c>
      <c r="G242" s="119" t="s">
        <v>200</v>
      </c>
      <c r="H242" s="132" t="s">
        <v>2343</v>
      </c>
      <c r="I242" s="131">
        <v>3</v>
      </c>
      <c r="J242" s="280" t="s">
        <v>116</v>
      </c>
      <c r="K242" s="207" t="s">
        <v>942</v>
      </c>
      <c r="L242" s="303"/>
      <c r="M242" s="10"/>
      <c r="N242" s="10"/>
      <c r="O242" s="10"/>
      <c r="P242" s="10"/>
      <c r="Q242" s="281"/>
    </row>
    <row r="243" spans="2:17" customFormat="1">
      <c r="B243" s="119" t="s">
        <v>438</v>
      </c>
      <c r="C243" s="130" t="s">
        <v>527</v>
      </c>
      <c r="D243" s="119" t="s">
        <v>528</v>
      </c>
      <c r="E243" s="130" t="s">
        <v>34</v>
      </c>
      <c r="F243" s="119">
        <v>723103</v>
      </c>
      <c r="G243" s="119" t="s">
        <v>201</v>
      </c>
      <c r="H243" s="119" t="s">
        <v>2394</v>
      </c>
      <c r="I243" s="131">
        <v>2</v>
      </c>
      <c r="J243" s="141" t="s">
        <v>61</v>
      </c>
      <c r="K243" s="122" t="s">
        <v>851</v>
      </c>
      <c r="L243" s="48"/>
      <c r="M243" s="7"/>
      <c r="N243" s="7"/>
      <c r="O243" s="7"/>
      <c r="P243" s="7"/>
      <c r="Q243" s="7"/>
    </row>
    <row r="244" spans="2:17" customFormat="1">
      <c r="B244" s="119" t="s">
        <v>439</v>
      </c>
      <c r="C244" s="130" t="s">
        <v>527</v>
      </c>
      <c r="D244" s="119" t="s">
        <v>528</v>
      </c>
      <c r="E244" s="130" t="s">
        <v>33</v>
      </c>
      <c r="F244" s="119">
        <v>752205</v>
      </c>
      <c r="G244" s="119" t="s">
        <v>204</v>
      </c>
      <c r="H244" s="119" t="s">
        <v>1349</v>
      </c>
      <c r="I244" s="131">
        <v>2</v>
      </c>
      <c r="J244" s="141" t="s">
        <v>61</v>
      </c>
      <c r="K244" s="122" t="s">
        <v>851</v>
      </c>
      <c r="L244" s="48"/>
      <c r="M244" s="7"/>
      <c r="N244" s="7"/>
      <c r="O244" s="7"/>
      <c r="P244" s="7"/>
      <c r="Q244" s="7"/>
    </row>
    <row r="245" spans="2:17" customFormat="1">
      <c r="B245" s="119" t="s">
        <v>440</v>
      </c>
      <c r="C245" s="130" t="s">
        <v>527</v>
      </c>
      <c r="D245" s="119" t="s">
        <v>528</v>
      </c>
      <c r="E245" s="130" t="s">
        <v>208</v>
      </c>
      <c r="F245" s="119">
        <v>713201</v>
      </c>
      <c r="G245" s="119" t="s">
        <v>209</v>
      </c>
      <c r="H245" s="119" t="s">
        <v>2247</v>
      </c>
      <c r="I245" s="131">
        <v>1</v>
      </c>
      <c r="J245" s="141" t="s">
        <v>61</v>
      </c>
      <c r="K245" s="122" t="s">
        <v>851</v>
      </c>
      <c r="L245" s="48"/>
      <c r="M245" s="7"/>
      <c r="N245" s="7"/>
      <c r="O245" s="7"/>
      <c r="P245" s="7"/>
      <c r="Q245" s="7"/>
    </row>
    <row r="246" spans="2:17" customFormat="1" hidden="1">
      <c r="B246" s="119" t="s">
        <v>441</v>
      </c>
      <c r="C246" s="130" t="s">
        <v>529</v>
      </c>
      <c r="D246" s="119" t="s">
        <v>530</v>
      </c>
      <c r="E246" s="283" t="s">
        <v>36</v>
      </c>
      <c r="F246" s="119">
        <v>514101</v>
      </c>
      <c r="G246" s="119" t="s">
        <v>197</v>
      </c>
      <c r="H246" s="6" t="s">
        <v>1422</v>
      </c>
      <c r="I246" s="131">
        <v>5</v>
      </c>
      <c r="J246" s="141" t="s">
        <v>589</v>
      </c>
      <c r="K246" s="122" t="s">
        <v>849</v>
      </c>
      <c r="L246" s="47"/>
      <c r="M246" s="7"/>
      <c r="N246" s="18"/>
      <c r="O246" s="7"/>
      <c r="P246" s="7"/>
      <c r="Q246" s="7"/>
    </row>
    <row r="247" spans="2:17" customFormat="1" hidden="1">
      <c r="B247" s="119" t="s">
        <v>442</v>
      </c>
      <c r="C247" s="130" t="s">
        <v>529</v>
      </c>
      <c r="D247" s="119" t="s">
        <v>530</v>
      </c>
      <c r="E247" s="283" t="s">
        <v>45</v>
      </c>
      <c r="F247" s="119">
        <v>522301</v>
      </c>
      <c r="G247" s="119" t="s">
        <v>200</v>
      </c>
      <c r="H247" s="6" t="s">
        <v>1413</v>
      </c>
      <c r="I247" s="131">
        <v>1</v>
      </c>
      <c r="J247" s="141" t="s">
        <v>589</v>
      </c>
      <c r="K247" s="122" t="s">
        <v>849</v>
      </c>
      <c r="L247" s="47"/>
      <c r="M247" s="7"/>
      <c r="N247" s="18"/>
      <c r="O247" s="7"/>
      <c r="P247" s="7"/>
      <c r="Q247" s="7"/>
    </row>
    <row r="248" spans="2:17" customFormat="1" hidden="1">
      <c r="B248" s="119" t="s">
        <v>443</v>
      </c>
      <c r="C248" s="130" t="s">
        <v>529</v>
      </c>
      <c r="D248" s="119" t="s">
        <v>530</v>
      </c>
      <c r="E248" s="130" t="s">
        <v>34</v>
      </c>
      <c r="F248" s="119">
        <v>723103</v>
      </c>
      <c r="G248" s="119" t="s">
        <v>201</v>
      </c>
      <c r="H248" s="119" t="s">
        <v>1413</v>
      </c>
      <c r="I248" s="131">
        <v>12</v>
      </c>
      <c r="J248" s="141" t="s">
        <v>589</v>
      </c>
      <c r="K248" s="122" t="s">
        <v>849</v>
      </c>
      <c r="L248" s="48"/>
      <c r="M248" s="7"/>
      <c r="N248" s="18"/>
      <c r="O248" s="7"/>
      <c r="P248" s="7"/>
      <c r="Q248" s="7"/>
    </row>
    <row r="249" spans="2:17" customFormat="1" hidden="1">
      <c r="B249" s="119" t="s">
        <v>444</v>
      </c>
      <c r="C249" s="130" t="s">
        <v>529</v>
      </c>
      <c r="D249" s="119" t="s">
        <v>530</v>
      </c>
      <c r="E249" s="130" t="s">
        <v>44</v>
      </c>
      <c r="F249" s="119">
        <v>512001</v>
      </c>
      <c r="G249" s="119" t="s">
        <v>203</v>
      </c>
      <c r="H249" s="119" t="s">
        <v>1410</v>
      </c>
      <c r="I249" s="131">
        <v>3</v>
      </c>
      <c r="J249" s="141" t="s">
        <v>589</v>
      </c>
      <c r="K249" s="122" t="s">
        <v>849</v>
      </c>
      <c r="L249" s="48"/>
      <c r="M249" s="7"/>
      <c r="N249" s="18"/>
      <c r="O249" s="7"/>
      <c r="P249" s="7"/>
      <c r="Q249" s="7"/>
    </row>
    <row r="250" spans="2:17" customFormat="1" hidden="1">
      <c r="B250" s="119" t="s">
        <v>445</v>
      </c>
      <c r="C250" s="130" t="s">
        <v>529</v>
      </c>
      <c r="D250" s="119" t="s">
        <v>530</v>
      </c>
      <c r="E250" s="130" t="s">
        <v>37</v>
      </c>
      <c r="F250" s="119">
        <v>751204</v>
      </c>
      <c r="G250" s="119" t="s">
        <v>866</v>
      </c>
      <c r="H250" s="119"/>
      <c r="I250" s="319">
        <v>0</v>
      </c>
      <c r="J250" s="141" t="s">
        <v>229</v>
      </c>
      <c r="K250" s="122"/>
      <c r="L250" s="48"/>
      <c r="M250" s="7"/>
      <c r="N250" s="18"/>
      <c r="O250" s="7"/>
      <c r="P250" s="7"/>
      <c r="Q250" s="7"/>
    </row>
    <row r="251" spans="2:17" customFormat="1" hidden="1">
      <c r="B251" s="119" t="s">
        <v>446</v>
      </c>
      <c r="C251" s="130" t="s">
        <v>529</v>
      </c>
      <c r="D251" s="119" t="s">
        <v>530</v>
      </c>
      <c r="E251" s="130" t="s">
        <v>53</v>
      </c>
      <c r="F251" s="119">
        <v>741203</v>
      </c>
      <c r="G251" s="119" t="s">
        <v>232</v>
      </c>
      <c r="H251" s="119" t="s">
        <v>1344</v>
      </c>
      <c r="I251" s="131">
        <v>1</v>
      </c>
      <c r="J251" s="141" t="s">
        <v>229</v>
      </c>
      <c r="K251" s="122" t="s">
        <v>105</v>
      </c>
      <c r="L251" s="49"/>
      <c r="M251" s="7"/>
      <c r="N251" s="7"/>
      <c r="O251" s="7"/>
      <c r="P251" s="7"/>
      <c r="Q251" s="7"/>
    </row>
    <row r="252" spans="2:17" customFormat="1" hidden="1">
      <c r="B252" s="119" t="s">
        <v>447</v>
      </c>
      <c r="C252" s="130" t="s">
        <v>531</v>
      </c>
      <c r="D252" s="119" t="s">
        <v>532</v>
      </c>
      <c r="E252" s="130" t="s">
        <v>52</v>
      </c>
      <c r="F252" s="119">
        <v>721306</v>
      </c>
      <c r="G252" s="119" t="s">
        <v>569</v>
      </c>
      <c r="H252" s="119" t="s">
        <v>1349</v>
      </c>
      <c r="I252" s="131">
        <v>1</v>
      </c>
      <c r="J252" s="141" t="s">
        <v>229</v>
      </c>
      <c r="K252" s="122" t="s">
        <v>105</v>
      </c>
      <c r="L252" s="49"/>
      <c r="M252" s="7"/>
      <c r="N252" s="7"/>
      <c r="O252" s="7"/>
      <c r="P252" s="7"/>
      <c r="Q252" s="7"/>
    </row>
    <row r="253" spans="2:17" customFormat="1" hidden="1">
      <c r="B253" s="119" t="s">
        <v>448</v>
      </c>
      <c r="C253" s="130" t="s">
        <v>531</v>
      </c>
      <c r="D253" s="119" t="s">
        <v>532</v>
      </c>
      <c r="E253" s="130" t="s">
        <v>37</v>
      </c>
      <c r="F253" s="119">
        <v>751201</v>
      </c>
      <c r="G253" s="119" t="s">
        <v>866</v>
      </c>
      <c r="H253" s="119" t="s">
        <v>1409</v>
      </c>
      <c r="I253" s="131">
        <v>6</v>
      </c>
      <c r="J253" s="141" t="s">
        <v>141</v>
      </c>
      <c r="K253" s="122" t="s">
        <v>943</v>
      </c>
      <c r="L253" s="48"/>
      <c r="M253" s="7"/>
      <c r="N253" s="7"/>
      <c r="O253" s="7"/>
      <c r="P253" s="7"/>
      <c r="Q253" s="7"/>
    </row>
    <row r="254" spans="2:17" customFormat="1" hidden="1">
      <c r="B254" s="119" t="s">
        <v>449</v>
      </c>
      <c r="C254" s="130" t="s">
        <v>531</v>
      </c>
      <c r="D254" s="119" t="s">
        <v>532</v>
      </c>
      <c r="E254" s="130" t="s">
        <v>53</v>
      </c>
      <c r="F254" s="119">
        <v>741203</v>
      </c>
      <c r="G254" s="119" t="s">
        <v>232</v>
      </c>
      <c r="H254" s="119" t="s">
        <v>1344</v>
      </c>
      <c r="I254" s="131">
        <v>2</v>
      </c>
      <c r="J254" s="141" t="s">
        <v>229</v>
      </c>
      <c r="K254" s="122" t="s">
        <v>105</v>
      </c>
      <c r="L254" s="49"/>
      <c r="M254" s="7"/>
      <c r="N254" s="7"/>
      <c r="O254" s="7"/>
      <c r="P254" s="7"/>
      <c r="Q254" s="7"/>
    </row>
    <row r="255" spans="2:17" customFormat="1" hidden="1">
      <c r="B255" s="119" t="s">
        <v>450</v>
      </c>
      <c r="C255" s="130" t="s">
        <v>531</v>
      </c>
      <c r="D255" s="119" t="s">
        <v>532</v>
      </c>
      <c r="E255" s="130" t="s">
        <v>38</v>
      </c>
      <c r="F255" s="119">
        <v>741103</v>
      </c>
      <c r="G255" s="119" t="s">
        <v>205</v>
      </c>
      <c r="H255" s="119" t="s">
        <v>1409</v>
      </c>
      <c r="I255" s="131">
        <v>5</v>
      </c>
      <c r="J255" s="141" t="s">
        <v>141</v>
      </c>
      <c r="K255" s="122" t="s">
        <v>943</v>
      </c>
      <c r="L255" s="48"/>
      <c r="M255" s="7"/>
      <c r="N255" s="7"/>
      <c r="O255" s="7"/>
      <c r="P255" s="7"/>
      <c r="Q255" s="7"/>
    </row>
    <row r="256" spans="2:17" customFormat="1" hidden="1">
      <c r="B256" s="119" t="s">
        <v>451</v>
      </c>
      <c r="C256" s="130" t="s">
        <v>531</v>
      </c>
      <c r="D256" s="119" t="s">
        <v>532</v>
      </c>
      <c r="E256" s="283" t="s">
        <v>36</v>
      </c>
      <c r="F256" s="119">
        <v>514101</v>
      </c>
      <c r="G256" s="119" t="s">
        <v>197</v>
      </c>
      <c r="H256" s="119" t="s">
        <v>2331</v>
      </c>
      <c r="I256" s="131">
        <v>22</v>
      </c>
      <c r="J256" s="141" t="s">
        <v>141</v>
      </c>
      <c r="K256" s="122" t="s">
        <v>943</v>
      </c>
      <c r="L256" s="48"/>
      <c r="M256" s="7"/>
      <c r="N256" s="7"/>
      <c r="O256" s="7"/>
      <c r="P256" s="7"/>
      <c r="Q256" s="7"/>
    </row>
    <row r="257" spans="2:17" customFormat="1" hidden="1">
      <c r="B257" s="119" t="s">
        <v>452</v>
      </c>
      <c r="C257" s="130" t="s">
        <v>531</v>
      </c>
      <c r="D257" s="119" t="s">
        <v>532</v>
      </c>
      <c r="E257" s="130" t="s">
        <v>44</v>
      </c>
      <c r="F257" s="119">
        <v>512001</v>
      </c>
      <c r="G257" s="119" t="s">
        <v>203</v>
      </c>
      <c r="H257" s="119" t="s">
        <v>1434</v>
      </c>
      <c r="I257" s="131">
        <v>7</v>
      </c>
      <c r="J257" s="141" t="s">
        <v>141</v>
      </c>
      <c r="K257" s="122" t="s">
        <v>943</v>
      </c>
      <c r="L257" s="48"/>
      <c r="M257" s="7"/>
      <c r="N257" s="7"/>
      <c r="O257" s="7"/>
      <c r="P257" s="7"/>
      <c r="Q257" s="7"/>
    </row>
    <row r="258" spans="2:17" customFormat="1" hidden="1">
      <c r="B258" s="119" t="s">
        <v>453</v>
      </c>
      <c r="C258" s="130" t="s">
        <v>531</v>
      </c>
      <c r="D258" s="119" t="s">
        <v>532</v>
      </c>
      <c r="E258" s="130" t="s">
        <v>71</v>
      </c>
      <c r="F258" s="119">
        <v>713201</v>
      </c>
      <c r="G258" s="119" t="s">
        <v>209</v>
      </c>
      <c r="H258" s="220" t="s">
        <v>1349</v>
      </c>
      <c r="I258" s="131">
        <v>4</v>
      </c>
      <c r="J258" s="141" t="s">
        <v>229</v>
      </c>
      <c r="K258" s="122" t="s">
        <v>105</v>
      </c>
      <c r="L258" s="49"/>
      <c r="M258" s="7"/>
      <c r="N258" s="7"/>
      <c r="O258" s="7"/>
      <c r="P258" s="7"/>
      <c r="Q258" s="7"/>
    </row>
    <row r="259" spans="2:17" customFormat="1" hidden="1">
      <c r="B259" s="119" t="s">
        <v>454</v>
      </c>
      <c r="C259" s="130" t="s">
        <v>531</v>
      </c>
      <c r="D259" s="119" t="s">
        <v>532</v>
      </c>
      <c r="E259" s="130" t="s">
        <v>34</v>
      </c>
      <c r="F259" s="119">
        <v>723103</v>
      </c>
      <c r="G259" s="119" t="s">
        <v>201</v>
      </c>
      <c r="H259" s="119" t="s">
        <v>2331</v>
      </c>
      <c r="I259" s="131">
        <v>4</v>
      </c>
      <c r="J259" s="141" t="s">
        <v>141</v>
      </c>
      <c r="K259" s="122" t="s">
        <v>943</v>
      </c>
      <c r="L259" s="48"/>
      <c r="M259" s="7"/>
      <c r="N259" s="7"/>
      <c r="O259" s="7"/>
      <c r="P259" s="7"/>
      <c r="Q259" s="7"/>
    </row>
    <row r="260" spans="2:17" customFormat="1">
      <c r="B260" s="119" t="s">
        <v>455</v>
      </c>
      <c r="C260" s="130" t="s">
        <v>531</v>
      </c>
      <c r="D260" s="119" t="s">
        <v>532</v>
      </c>
      <c r="E260" s="130" t="s">
        <v>56</v>
      </c>
      <c r="F260" s="119">
        <v>712905</v>
      </c>
      <c r="G260" s="119" t="s">
        <v>202</v>
      </c>
      <c r="H260" s="444" t="s">
        <v>1348</v>
      </c>
      <c r="I260" s="131">
        <v>2</v>
      </c>
      <c r="J260" s="141" t="s">
        <v>61</v>
      </c>
      <c r="K260" s="122" t="s">
        <v>851</v>
      </c>
      <c r="L260" s="48"/>
      <c r="M260" s="7"/>
      <c r="N260" s="7"/>
      <c r="O260" s="7"/>
      <c r="P260" s="7"/>
      <c r="Q260" s="7"/>
    </row>
    <row r="261" spans="2:17" customFormat="1" hidden="1">
      <c r="B261" s="119" t="s">
        <v>456</v>
      </c>
      <c r="C261" s="130" t="s">
        <v>531</v>
      </c>
      <c r="D261" s="119" t="s">
        <v>532</v>
      </c>
      <c r="E261" s="130" t="s">
        <v>82</v>
      </c>
      <c r="F261" s="119">
        <v>722307</v>
      </c>
      <c r="G261" s="119" t="s">
        <v>244</v>
      </c>
      <c r="H261" s="119"/>
      <c r="I261" s="319">
        <v>0</v>
      </c>
      <c r="J261" s="141"/>
      <c r="K261" s="221"/>
      <c r="L261" s="48"/>
      <c r="M261" s="7"/>
      <c r="N261" s="7"/>
      <c r="O261" s="7"/>
      <c r="P261" s="7"/>
      <c r="Q261" s="7"/>
    </row>
    <row r="262" spans="2:17" customFormat="1" hidden="1">
      <c r="B262" s="119" t="s">
        <v>457</v>
      </c>
      <c r="C262" s="130" t="s">
        <v>531</v>
      </c>
      <c r="D262" s="119" t="s">
        <v>532</v>
      </c>
      <c r="E262" s="283" t="s">
        <v>45</v>
      </c>
      <c r="F262" s="119">
        <v>522301</v>
      </c>
      <c r="G262" s="119" t="s">
        <v>200</v>
      </c>
      <c r="H262" s="119" t="s">
        <v>1434</v>
      </c>
      <c r="I262" s="131">
        <v>11</v>
      </c>
      <c r="J262" s="141" t="s">
        <v>141</v>
      </c>
      <c r="K262" s="122" t="s">
        <v>943</v>
      </c>
      <c r="L262" s="48"/>
      <c r="M262" s="7"/>
      <c r="N262" s="7"/>
      <c r="O262" s="7"/>
      <c r="P262" s="7"/>
      <c r="Q262" s="7"/>
    </row>
    <row r="263" spans="2:17" customFormat="1" hidden="1">
      <c r="B263" s="119" t="s">
        <v>458</v>
      </c>
      <c r="C263" s="130" t="s">
        <v>531</v>
      </c>
      <c r="D263" s="119" t="s">
        <v>532</v>
      </c>
      <c r="E263" s="130" t="s">
        <v>91</v>
      </c>
      <c r="F263" s="119">
        <v>752205</v>
      </c>
      <c r="G263" s="119" t="s">
        <v>204</v>
      </c>
      <c r="H263" s="119" t="s">
        <v>1409</v>
      </c>
      <c r="I263" s="131">
        <v>5</v>
      </c>
      <c r="J263" s="141" t="s">
        <v>141</v>
      </c>
      <c r="K263" s="122" t="s">
        <v>943</v>
      </c>
      <c r="L263" s="48"/>
      <c r="M263" s="7"/>
      <c r="N263" s="7"/>
      <c r="O263" s="7"/>
      <c r="P263" s="7"/>
      <c r="Q263" s="7"/>
    </row>
    <row r="264" spans="2:17" customFormat="1" hidden="1">
      <c r="B264" s="119" t="s">
        <v>459</v>
      </c>
      <c r="C264" s="130" t="s">
        <v>531</v>
      </c>
      <c r="D264" s="119" t="s">
        <v>532</v>
      </c>
      <c r="E264" s="130" t="s">
        <v>218</v>
      </c>
      <c r="F264" s="119">
        <v>753402</v>
      </c>
      <c r="G264" s="119" t="s">
        <v>570</v>
      </c>
      <c r="H264" s="119" t="s">
        <v>1434</v>
      </c>
      <c r="I264" s="131">
        <v>14</v>
      </c>
      <c r="J264" s="141" t="s">
        <v>141</v>
      </c>
      <c r="K264" s="122" t="s">
        <v>943</v>
      </c>
      <c r="L264" s="48"/>
      <c r="M264" s="7"/>
      <c r="N264" s="7"/>
      <c r="O264" s="7"/>
      <c r="P264" s="7"/>
      <c r="Q264" s="7"/>
    </row>
    <row r="265" spans="2:17" customFormat="1" hidden="1">
      <c r="B265" s="119" t="s">
        <v>460</v>
      </c>
      <c r="C265" s="130" t="s">
        <v>534</v>
      </c>
      <c r="D265" s="119" t="s">
        <v>535</v>
      </c>
      <c r="E265" s="130" t="s">
        <v>44</v>
      </c>
      <c r="F265" s="119">
        <v>723103</v>
      </c>
      <c r="G265" s="119" t="s">
        <v>203</v>
      </c>
      <c r="H265" s="119" t="s">
        <v>1345</v>
      </c>
      <c r="I265" s="131">
        <v>2</v>
      </c>
      <c r="J265" s="141" t="s">
        <v>229</v>
      </c>
      <c r="K265" s="122" t="s">
        <v>105</v>
      </c>
      <c r="L265" s="59"/>
      <c r="M265" s="7"/>
      <c r="N265" s="7"/>
      <c r="O265" s="7"/>
      <c r="P265" s="7"/>
      <c r="Q265" s="7"/>
    </row>
    <row r="266" spans="2:17" customFormat="1" hidden="1">
      <c r="B266" s="119" t="s">
        <v>461</v>
      </c>
      <c r="C266" s="130" t="s">
        <v>534</v>
      </c>
      <c r="D266" s="119" t="s">
        <v>535</v>
      </c>
      <c r="E266" s="283" t="s">
        <v>36</v>
      </c>
      <c r="F266" s="119">
        <v>514101</v>
      </c>
      <c r="G266" s="119" t="s">
        <v>197</v>
      </c>
      <c r="H266" s="133" t="s">
        <v>1347</v>
      </c>
      <c r="I266" s="131">
        <v>5</v>
      </c>
      <c r="J266" s="141" t="s">
        <v>229</v>
      </c>
      <c r="K266" s="122" t="s">
        <v>105</v>
      </c>
      <c r="L266" s="49"/>
      <c r="M266" s="7"/>
      <c r="N266" s="7"/>
      <c r="O266" s="7"/>
      <c r="P266" s="7"/>
      <c r="Q266" s="7"/>
    </row>
    <row r="267" spans="2:17" customFormat="1" hidden="1">
      <c r="B267" s="119" t="s">
        <v>462</v>
      </c>
      <c r="C267" s="130" t="s">
        <v>534</v>
      </c>
      <c r="D267" s="119" t="s">
        <v>535</v>
      </c>
      <c r="E267" s="283" t="s">
        <v>45</v>
      </c>
      <c r="F267" s="119">
        <v>522301</v>
      </c>
      <c r="G267" s="119" t="s">
        <v>200</v>
      </c>
      <c r="H267" s="119" t="s">
        <v>2394</v>
      </c>
      <c r="I267" s="131">
        <v>3</v>
      </c>
      <c r="J267" s="141" t="s">
        <v>229</v>
      </c>
      <c r="K267" s="122" t="s">
        <v>105</v>
      </c>
      <c r="L267" s="49"/>
      <c r="M267" s="7"/>
      <c r="N267" s="7"/>
      <c r="O267" s="7"/>
      <c r="P267" s="7"/>
      <c r="Q267" s="7"/>
    </row>
    <row r="268" spans="2:17" customFormat="1" hidden="1">
      <c r="B268" s="119" t="s">
        <v>463</v>
      </c>
      <c r="C268" s="130" t="s">
        <v>534</v>
      </c>
      <c r="D268" s="119" t="s">
        <v>535</v>
      </c>
      <c r="E268" s="130" t="s">
        <v>33</v>
      </c>
      <c r="F268" s="119">
        <v>752205</v>
      </c>
      <c r="G268" s="119" t="s">
        <v>204</v>
      </c>
      <c r="H268" s="119" t="s">
        <v>1349</v>
      </c>
      <c r="I268" s="131">
        <v>1</v>
      </c>
      <c r="J268" s="141" t="s">
        <v>229</v>
      </c>
      <c r="K268" s="122" t="s">
        <v>105</v>
      </c>
      <c r="L268" s="49"/>
      <c r="M268" s="7"/>
      <c r="N268" s="7"/>
      <c r="O268" s="7"/>
      <c r="P268" s="7"/>
      <c r="Q268" s="7"/>
    </row>
    <row r="269" spans="2:17" customFormat="1" hidden="1">
      <c r="B269" s="119" t="s">
        <v>464</v>
      </c>
      <c r="C269" s="130" t="s">
        <v>538</v>
      </c>
      <c r="D269" s="119" t="s">
        <v>174</v>
      </c>
      <c r="E269" s="130" t="s">
        <v>39</v>
      </c>
      <c r="F269" s="119">
        <v>711204</v>
      </c>
      <c r="G269" s="119" t="s">
        <v>196</v>
      </c>
      <c r="H269" s="119" t="s">
        <v>2394</v>
      </c>
      <c r="I269" s="131">
        <v>1</v>
      </c>
      <c r="J269" s="141" t="s">
        <v>229</v>
      </c>
      <c r="K269" s="122" t="s">
        <v>105</v>
      </c>
      <c r="L269" s="59"/>
      <c r="M269" s="7"/>
      <c r="N269" s="7"/>
      <c r="O269" s="7"/>
      <c r="P269" s="7"/>
      <c r="Q269" s="7"/>
    </row>
    <row r="270" spans="2:17" customFormat="1" hidden="1">
      <c r="B270" s="119" t="s">
        <v>465</v>
      </c>
      <c r="C270" s="130" t="s">
        <v>538</v>
      </c>
      <c r="D270" s="119" t="s">
        <v>174</v>
      </c>
      <c r="E270" s="283" t="s">
        <v>36</v>
      </c>
      <c r="F270" s="119">
        <v>514101</v>
      </c>
      <c r="G270" s="119" t="s">
        <v>197</v>
      </c>
      <c r="H270" s="119" t="s">
        <v>1337</v>
      </c>
      <c r="I270" s="131">
        <v>3</v>
      </c>
      <c r="J270" s="7" t="s">
        <v>1485</v>
      </c>
      <c r="K270" s="122" t="s">
        <v>35</v>
      </c>
      <c r="L270" s="60"/>
      <c r="M270" s="7"/>
      <c r="N270" s="7"/>
      <c r="O270" s="43"/>
      <c r="P270" s="7"/>
      <c r="Q270" s="7"/>
    </row>
    <row r="271" spans="2:17" customFormat="1" hidden="1">
      <c r="B271" s="119" t="s">
        <v>466</v>
      </c>
      <c r="C271" s="130" t="s">
        <v>538</v>
      </c>
      <c r="D271" s="119" t="s">
        <v>174</v>
      </c>
      <c r="E271" s="130" t="s">
        <v>34</v>
      </c>
      <c r="F271" s="119">
        <v>723103</v>
      </c>
      <c r="G271" s="119" t="s">
        <v>201</v>
      </c>
      <c r="H271" s="6" t="s">
        <v>1412</v>
      </c>
      <c r="I271" s="131">
        <v>2</v>
      </c>
      <c r="J271" s="7" t="s">
        <v>1485</v>
      </c>
      <c r="K271" s="122" t="s">
        <v>35</v>
      </c>
      <c r="L271" s="60"/>
      <c r="M271" s="7"/>
      <c r="N271" s="7"/>
      <c r="O271" s="43"/>
      <c r="P271" s="7"/>
      <c r="Q271" s="7"/>
    </row>
    <row r="272" spans="2:17" customFormat="1" hidden="1">
      <c r="B272" s="119" t="s">
        <v>467</v>
      </c>
      <c r="C272" s="130" t="s">
        <v>538</v>
      </c>
      <c r="D272" s="119" t="s">
        <v>174</v>
      </c>
      <c r="E272" s="130" t="s">
        <v>44</v>
      </c>
      <c r="F272" s="119">
        <v>512001</v>
      </c>
      <c r="G272" s="119" t="s">
        <v>203</v>
      </c>
      <c r="H272" s="119" t="s">
        <v>1410</v>
      </c>
      <c r="I272" s="131">
        <v>1</v>
      </c>
      <c r="J272" s="141" t="s">
        <v>589</v>
      </c>
      <c r="K272" s="122" t="s">
        <v>849</v>
      </c>
      <c r="L272" s="48"/>
      <c r="M272" s="7"/>
      <c r="N272" s="18"/>
      <c r="O272" s="7"/>
      <c r="P272" s="7"/>
      <c r="Q272" s="7"/>
    </row>
    <row r="273" spans="2:17" customFormat="1" hidden="1">
      <c r="B273" s="119" t="s">
        <v>468</v>
      </c>
      <c r="C273" s="130" t="s">
        <v>538</v>
      </c>
      <c r="D273" s="119" t="s">
        <v>174</v>
      </c>
      <c r="E273" s="130" t="s">
        <v>38</v>
      </c>
      <c r="F273" s="119">
        <v>741103</v>
      </c>
      <c r="G273" s="119" t="s">
        <v>205</v>
      </c>
      <c r="H273" s="119" t="s">
        <v>1343</v>
      </c>
      <c r="I273" s="131">
        <v>2</v>
      </c>
      <c r="J273" s="141" t="s">
        <v>229</v>
      </c>
      <c r="K273" s="122" t="s">
        <v>105</v>
      </c>
      <c r="L273" s="49"/>
      <c r="M273" s="7"/>
      <c r="N273" s="7"/>
      <c r="O273" s="7"/>
      <c r="P273" s="7"/>
      <c r="Q273" s="7"/>
    </row>
    <row r="274" spans="2:17" customFormat="1">
      <c r="B274" s="119" t="s">
        <v>469</v>
      </c>
      <c r="C274" s="130" t="s">
        <v>538</v>
      </c>
      <c r="D274" s="119" t="s">
        <v>174</v>
      </c>
      <c r="E274" s="130" t="s">
        <v>540</v>
      </c>
      <c r="F274" s="119">
        <v>741201</v>
      </c>
      <c r="G274" s="119" t="s">
        <v>90</v>
      </c>
      <c r="H274" s="444" t="s">
        <v>1348</v>
      </c>
      <c r="I274" s="131">
        <v>1</v>
      </c>
      <c r="J274" s="141" t="s">
        <v>61</v>
      </c>
      <c r="K274" s="122" t="s">
        <v>851</v>
      </c>
      <c r="L274" s="48"/>
      <c r="M274" s="7"/>
      <c r="N274" s="7"/>
      <c r="O274" s="7"/>
      <c r="P274" s="7"/>
      <c r="Q274" s="7"/>
    </row>
    <row r="275" spans="2:17" customFormat="1" hidden="1">
      <c r="B275" s="119" t="s">
        <v>470</v>
      </c>
      <c r="C275" s="130" t="s">
        <v>544</v>
      </c>
      <c r="D275" s="119" t="s">
        <v>545</v>
      </c>
      <c r="E275" s="130" t="s">
        <v>44</v>
      </c>
      <c r="F275" s="119">
        <v>512001</v>
      </c>
      <c r="G275" s="119" t="s">
        <v>203</v>
      </c>
      <c r="H275" s="297" t="s">
        <v>2278</v>
      </c>
      <c r="I275" s="131">
        <v>4</v>
      </c>
      <c r="J275" s="141" t="s">
        <v>228</v>
      </c>
      <c r="K275" s="122" t="s">
        <v>104</v>
      </c>
      <c r="L275" s="60"/>
      <c r="M275" s="14"/>
      <c r="N275" s="7"/>
      <c r="O275" s="7"/>
      <c r="P275" s="7"/>
      <c r="Q275" s="7"/>
    </row>
    <row r="276" spans="2:17" customFormat="1" hidden="1">
      <c r="B276" s="119" t="s">
        <v>471</v>
      </c>
      <c r="C276" s="130" t="s">
        <v>544</v>
      </c>
      <c r="D276" s="119" t="s">
        <v>545</v>
      </c>
      <c r="E276" s="283" t="s">
        <v>36</v>
      </c>
      <c r="F276" s="119">
        <v>514101</v>
      </c>
      <c r="G276" s="119" t="s">
        <v>197</v>
      </c>
      <c r="H276" s="297" t="s">
        <v>2279</v>
      </c>
      <c r="I276" s="131">
        <v>6</v>
      </c>
      <c r="J276" s="141" t="s">
        <v>228</v>
      </c>
      <c r="K276" s="122" t="s">
        <v>104</v>
      </c>
      <c r="L276" s="60"/>
      <c r="M276" s="14"/>
      <c r="N276" s="7"/>
      <c r="O276" s="7"/>
      <c r="P276" s="7"/>
      <c r="Q276" s="7"/>
    </row>
    <row r="277" spans="2:17" customFormat="1" hidden="1">
      <c r="B277" s="119" t="s">
        <v>472</v>
      </c>
      <c r="C277" s="130" t="s">
        <v>544</v>
      </c>
      <c r="D277" s="119" t="s">
        <v>545</v>
      </c>
      <c r="E277" s="130" t="s">
        <v>34</v>
      </c>
      <c r="F277" s="119">
        <v>723103</v>
      </c>
      <c r="G277" s="119" t="s">
        <v>201</v>
      </c>
      <c r="H277" s="129" t="s">
        <v>1413</v>
      </c>
      <c r="I277" s="131">
        <v>2</v>
      </c>
      <c r="J277" s="141" t="s">
        <v>228</v>
      </c>
      <c r="K277" s="122" t="s">
        <v>104</v>
      </c>
      <c r="L277" s="48"/>
      <c r="M277" s="14"/>
      <c r="N277" s="7"/>
      <c r="O277" s="7"/>
      <c r="P277" s="7"/>
      <c r="Q277" s="7"/>
    </row>
    <row r="278" spans="2:17" customFormat="1" hidden="1">
      <c r="B278" s="119" t="s">
        <v>473</v>
      </c>
      <c r="C278" s="130" t="s">
        <v>544</v>
      </c>
      <c r="D278" s="119" t="s">
        <v>545</v>
      </c>
      <c r="E278" s="130" t="s">
        <v>103</v>
      </c>
      <c r="F278" s="119">
        <v>722307</v>
      </c>
      <c r="G278" s="119" t="s">
        <v>244</v>
      </c>
      <c r="H278" s="295" t="s">
        <v>2280</v>
      </c>
      <c r="I278" s="131">
        <v>2</v>
      </c>
      <c r="J278" s="141" t="s">
        <v>228</v>
      </c>
      <c r="K278" s="122" t="s">
        <v>104</v>
      </c>
      <c r="L278" s="48"/>
      <c r="M278" s="14"/>
      <c r="N278" s="7"/>
      <c r="O278" s="7"/>
      <c r="P278" s="7"/>
      <c r="Q278" s="7"/>
    </row>
    <row r="279" spans="2:17" customFormat="1">
      <c r="B279" s="119" t="s">
        <v>474</v>
      </c>
      <c r="C279" s="130" t="s">
        <v>548</v>
      </c>
      <c r="D279" s="119" t="s">
        <v>549</v>
      </c>
      <c r="E279" s="283" t="s">
        <v>36</v>
      </c>
      <c r="F279" s="119">
        <v>514101</v>
      </c>
      <c r="G279" s="119" t="s">
        <v>197</v>
      </c>
      <c r="H279" s="444" t="s">
        <v>2394</v>
      </c>
      <c r="I279" s="131">
        <v>2</v>
      </c>
      <c r="J279" s="141" t="s">
        <v>61</v>
      </c>
      <c r="K279" s="122" t="s">
        <v>851</v>
      </c>
      <c r="L279" s="60"/>
      <c r="M279" s="7"/>
      <c r="N279" s="7"/>
      <c r="O279" s="7"/>
      <c r="P279" s="7"/>
      <c r="Q279" s="7"/>
    </row>
    <row r="280" spans="2:17" customFormat="1">
      <c r="B280" s="119" t="s">
        <v>475</v>
      </c>
      <c r="C280" s="130" t="s">
        <v>548</v>
      </c>
      <c r="D280" s="119" t="s">
        <v>549</v>
      </c>
      <c r="E280" s="130" t="s">
        <v>38</v>
      </c>
      <c r="F280" s="119">
        <v>741103</v>
      </c>
      <c r="G280" s="119" t="s">
        <v>205</v>
      </c>
      <c r="H280" s="120" t="s">
        <v>1325</v>
      </c>
      <c r="I280" s="131">
        <v>2</v>
      </c>
      <c r="J280" s="141" t="s">
        <v>61</v>
      </c>
      <c r="K280" s="122" t="s">
        <v>851</v>
      </c>
      <c r="L280" s="60"/>
      <c r="M280" s="7"/>
      <c r="N280" s="7"/>
      <c r="O280" s="7"/>
      <c r="P280" s="7"/>
      <c r="Q280" s="7"/>
    </row>
    <row r="281" spans="2:17" customFormat="1" hidden="1">
      <c r="B281" s="119" t="s">
        <v>476</v>
      </c>
      <c r="C281" s="130" t="s">
        <v>548</v>
      </c>
      <c r="D281" s="119" t="s">
        <v>549</v>
      </c>
      <c r="E281" s="130" t="s">
        <v>44</v>
      </c>
      <c r="F281" s="119">
        <v>512001</v>
      </c>
      <c r="G281" s="119" t="s">
        <v>203</v>
      </c>
      <c r="H281" s="295" t="s">
        <v>1413</v>
      </c>
      <c r="I281" s="131">
        <v>1</v>
      </c>
      <c r="J281" s="141" t="s">
        <v>109</v>
      </c>
      <c r="K281" s="122" t="s">
        <v>237</v>
      </c>
      <c r="L281" s="48"/>
      <c r="M281" s="7"/>
      <c r="N281" s="7"/>
      <c r="O281" s="7"/>
      <c r="P281" s="7"/>
      <c r="Q281" s="7"/>
    </row>
    <row r="282" spans="2:17" customFormat="1" hidden="1">
      <c r="B282" s="119" t="s">
        <v>477</v>
      </c>
      <c r="C282" s="130" t="s">
        <v>548</v>
      </c>
      <c r="D282" s="119" t="s">
        <v>549</v>
      </c>
      <c r="E282" s="130" t="s">
        <v>34</v>
      </c>
      <c r="F282" s="119">
        <v>723103</v>
      </c>
      <c r="G282" s="119" t="s">
        <v>201</v>
      </c>
      <c r="H282" s="295" t="s">
        <v>1413</v>
      </c>
      <c r="I282" s="131">
        <v>1</v>
      </c>
      <c r="J282" s="141" t="s">
        <v>109</v>
      </c>
      <c r="K282" s="122" t="s">
        <v>237</v>
      </c>
      <c r="L282" s="48"/>
      <c r="M282" s="7"/>
      <c r="N282" s="7"/>
      <c r="O282" s="7"/>
      <c r="P282" s="7"/>
      <c r="Q282" s="7"/>
    </row>
    <row r="283" spans="2:17" customFormat="1" hidden="1">
      <c r="B283" s="119" t="s">
        <v>478</v>
      </c>
      <c r="C283" s="130" t="s">
        <v>548</v>
      </c>
      <c r="D283" s="119" t="s">
        <v>549</v>
      </c>
      <c r="E283" s="283" t="s">
        <v>45</v>
      </c>
      <c r="F283" s="119">
        <v>522301</v>
      </c>
      <c r="G283" s="119" t="s">
        <v>200</v>
      </c>
      <c r="H283" s="295" t="s">
        <v>1413</v>
      </c>
      <c r="I283" s="131">
        <v>4</v>
      </c>
      <c r="J283" s="141" t="s">
        <v>109</v>
      </c>
      <c r="K283" s="122" t="s">
        <v>237</v>
      </c>
      <c r="L283" s="48"/>
      <c r="M283" s="7"/>
      <c r="N283" s="7"/>
      <c r="O283" s="7"/>
      <c r="P283" s="7"/>
      <c r="Q283" s="7"/>
    </row>
    <row r="284" spans="2:17" customFormat="1" hidden="1">
      <c r="B284" s="119" t="s">
        <v>479</v>
      </c>
      <c r="C284" s="130" t="s">
        <v>548</v>
      </c>
      <c r="D284" s="119" t="s">
        <v>549</v>
      </c>
      <c r="E284" s="130" t="s">
        <v>206</v>
      </c>
      <c r="F284" s="119">
        <v>722204</v>
      </c>
      <c r="G284" s="119" t="s">
        <v>207</v>
      </c>
      <c r="H284" s="295" t="s">
        <v>1411</v>
      </c>
      <c r="I284" s="131">
        <v>5</v>
      </c>
      <c r="J284" s="141" t="s">
        <v>109</v>
      </c>
      <c r="K284" s="122" t="s">
        <v>237</v>
      </c>
      <c r="L284" s="48"/>
      <c r="M284" s="7"/>
      <c r="N284" s="7"/>
      <c r="O284" s="7"/>
      <c r="P284" s="7"/>
      <c r="Q284" s="7"/>
    </row>
    <row r="285" spans="2:17" customFormat="1" hidden="1">
      <c r="B285" s="119" t="s">
        <v>480</v>
      </c>
      <c r="C285" s="130" t="s">
        <v>555</v>
      </c>
      <c r="D285" s="119" t="s">
        <v>556</v>
      </c>
      <c r="E285" s="283" t="s">
        <v>36</v>
      </c>
      <c r="F285" s="119">
        <v>514101</v>
      </c>
      <c r="G285" s="119" t="s">
        <v>197</v>
      </c>
      <c r="H285" s="119" t="s">
        <v>1422</v>
      </c>
      <c r="I285" s="131">
        <v>2</v>
      </c>
      <c r="J285" s="141" t="s">
        <v>589</v>
      </c>
      <c r="K285" s="122" t="s">
        <v>849</v>
      </c>
      <c r="L285" s="46"/>
      <c r="M285" s="7"/>
      <c r="N285" s="64"/>
      <c r="O285" s="7"/>
      <c r="P285" s="7"/>
      <c r="Q285" s="7"/>
    </row>
    <row r="286" spans="2:17" customFormat="1" hidden="1">
      <c r="B286" s="119" t="s">
        <v>481</v>
      </c>
      <c r="C286" s="130" t="s">
        <v>555</v>
      </c>
      <c r="D286" s="119" t="s">
        <v>556</v>
      </c>
      <c r="E286" s="283" t="s">
        <v>45</v>
      </c>
      <c r="F286" s="119">
        <v>522301</v>
      </c>
      <c r="G286" s="119" t="s">
        <v>200</v>
      </c>
      <c r="H286" s="119" t="s">
        <v>1413</v>
      </c>
      <c r="I286" s="131">
        <v>8</v>
      </c>
      <c r="J286" s="141" t="s">
        <v>589</v>
      </c>
      <c r="K286" s="122" t="s">
        <v>849</v>
      </c>
      <c r="L286" s="57"/>
      <c r="M286" s="7"/>
      <c r="N286" s="64"/>
      <c r="O286" s="7"/>
      <c r="P286" s="7"/>
      <c r="Q286" s="7"/>
    </row>
    <row r="287" spans="2:17" customFormat="1" hidden="1">
      <c r="B287" s="119" t="s">
        <v>482</v>
      </c>
      <c r="C287" s="130" t="s">
        <v>555</v>
      </c>
      <c r="D287" s="119" t="s">
        <v>556</v>
      </c>
      <c r="E287" s="130" t="s">
        <v>206</v>
      </c>
      <c r="F287" s="119">
        <v>722204</v>
      </c>
      <c r="G287" s="119" t="s">
        <v>207</v>
      </c>
      <c r="H287" s="119" t="s">
        <v>1345</v>
      </c>
      <c r="I287" s="131">
        <v>1</v>
      </c>
      <c r="J287" s="141" t="s">
        <v>229</v>
      </c>
      <c r="K287" s="122" t="s">
        <v>105</v>
      </c>
      <c r="L287" s="61"/>
      <c r="M287" s="7"/>
      <c r="N287" s="7"/>
      <c r="O287" s="7"/>
      <c r="P287" s="7"/>
      <c r="Q287" s="7"/>
    </row>
    <row r="288" spans="2:17" customFormat="1" hidden="1">
      <c r="B288" s="119" t="s">
        <v>483</v>
      </c>
      <c r="C288" s="130" t="s">
        <v>555</v>
      </c>
      <c r="D288" s="119" t="s">
        <v>556</v>
      </c>
      <c r="E288" s="130" t="s">
        <v>33</v>
      </c>
      <c r="F288" s="119">
        <v>752205</v>
      </c>
      <c r="G288" s="119" t="s">
        <v>204</v>
      </c>
      <c r="H288" s="119" t="s">
        <v>1349</v>
      </c>
      <c r="I288" s="131">
        <v>1</v>
      </c>
      <c r="J288" s="141" t="s">
        <v>229</v>
      </c>
      <c r="K288" s="122" t="s">
        <v>105</v>
      </c>
      <c r="L288" s="61"/>
      <c r="M288" s="7"/>
      <c r="N288" s="7"/>
      <c r="O288" s="7"/>
      <c r="P288" s="7"/>
      <c r="Q288" s="7"/>
    </row>
    <row r="289" spans="2:17" customFormat="1" hidden="1">
      <c r="B289" s="119" t="s">
        <v>484</v>
      </c>
      <c r="C289" s="130" t="s">
        <v>555</v>
      </c>
      <c r="D289" s="119" t="s">
        <v>556</v>
      </c>
      <c r="E289" s="130" t="s">
        <v>34</v>
      </c>
      <c r="F289" s="119">
        <v>723103</v>
      </c>
      <c r="G289" s="119" t="s">
        <v>201</v>
      </c>
      <c r="H289" s="119" t="s">
        <v>1413</v>
      </c>
      <c r="I289" s="131">
        <v>7</v>
      </c>
      <c r="J289" s="141" t="s">
        <v>589</v>
      </c>
      <c r="K289" s="122" t="s">
        <v>849</v>
      </c>
      <c r="L289" s="46"/>
      <c r="M289" s="7"/>
      <c r="N289" s="64"/>
      <c r="O289" s="7"/>
      <c r="P289" s="7"/>
      <c r="Q289" s="7"/>
    </row>
    <row r="290" spans="2:17" customFormat="1" hidden="1">
      <c r="B290" s="119" t="s">
        <v>485</v>
      </c>
      <c r="C290" s="130" t="s">
        <v>555</v>
      </c>
      <c r="D290" s="119" t="s">
        <v>556</v>
      </c>
      <c r="E290" s="130" t="s">
        <v>44</v>
      </c>
      <c r="F290" s="119">
        <v>512001</v>
      </c>
      <c r="G290" s="119" t="s">
        <v>203</v>
      </c>
      <c r="H290" s="119" t="s">
        <v>1410</v>
      </c>
      <c r="I290" s="131">
        <v>5</v>
      </c>
      <c r="J290" s="141" t="s">
        <v>589</v>
      </c>
      <c r="K290" s="122" t="s">
        <v>849</v>
      </c>
      <c r="L290" s="46"/>
      <c r="M290" s="9"/>
      <c r="N290" s="64"/>
      <c r="O290" s="7"/>
      <c r="P290" s="7"/>
      <c r="Q290" s="7"/>
    </row>
    <row r="291" spans="2:17" customFormat="1" hidden="1">
      <c r="B291" s="119" t="s">
        <v>486</v>
      </c>
      <c r="C291" s="130" t="s">
        <v>555</v>
      </c>
      <c r="D291" s="119" t="s">
        <v>556</v>
      </c>
      <c r="E291" s="130" t="s">
        <v>56</v>
      </c>
      <c r="F291" s="119">
        <v>712905</v>
      </c>
      <c r="G291" s="119" t="s">
        <v>202</v>
      </c>
      <c r="H291" s="119" t="s">
        <v>1326</v>
      </c>
      <c r="I291" s="131">
        <v>1</v>
      </c>
      <c r="J291" s="141" t="s">
        <v>195</v>
      </c>
      <c r="K291" s="122" t="s">
        <v>41</v>
      </c>
      <c r="L291" s="46"/>
      <c r="M291" s="7"/>
      <c r="N291" s="7"/>
      <c r="O291" s="7"/>
      <c r="P291" s="7"/>
      <c r="Q291" s="7"/>
    </row>
    <row r="292" spans="2:17" customFormat="1" hidden="1">
      <c r="B292" s="119" t="s">
        <v>487</v>
      </c>
      <c r="C292" s="130" t="s">
        <v>555</v>
      </c>
      <c r="D292" s="119" t="s">
        <v>556</v>
      </c>
      <c r="E292" s="130" t="s">
        <v>557</v>
      </c>
      <c r="F292" s="119">
        <v>712906</v>
      </c>
      <c r="G292" s="119" t="s">
        <v>862</v>
      </c>
      <c r="H292" s="119" t="s">
        <v>1326</v>
      </c>
      <c r="I292" s="131">
        <v>1</v>
      </c>
      <c r="J292" s="141" t="s">
        <v>195</v>
      </c>
      <c r="K292" s="122" t="s">
        <v>41</v>
      </c>
      <c r="L292" s="46"/>
      <c r="M292" s="7"/>
      <c r="N292" s="7"/>
      <c r="O292" s="7"/>
      <c r="P292" s="7"/>
      <c r="Q292" s="7"/>
    </row>
    <row r="293" spans="2:17" customFormat="1" hidden="1">
      <c r="B293" s="119" t="s">
        <v>488</v>
      </c>
      <c r="C293" s="130" t="s">
        <v>555</v>
      </c>
      <c r="D293" s="119" t="s">
        <v>556</v>
      </c>
      <c r="E293" s="130" t="s">
        <v>38</v>
      </c>
      <c r="F293" s="119">
        <v>741103</v>
      </c>
      <c r="G293" s="119" t="s">
        <v>205</v>
      </c>
      <c r="H293" s="119" t="s">
        <v>1343</v>
      </c>
      <c r="I293" s="131">
        <v>3</v>
      </c>
      <c r="J293" s="141" t="s">
        <v>229</v>
      </c>
      <c r="K293" s="122" t="s">
        <v>105</v>
      </c>
      <c r="L293" s="61"/>
      <c r="M293" s="7"/>
      <c r="N293" s="7"/>
      <c r="O293" s="7"/>
      <c r="P293" s="7"/>
      <c r="Q293" s="7"/>
    </row>
    <row r="294" spans="2:17" customFormat="1" hidden="1">
      <c r="B294" s="119" t="s">
        <v>489</v>
      </c>
      <c r="C294" s="130" t="s">
        <v>555</v>
      </c>
      <c r="D294" s="119" t="s">
        <v>556</v>
      </c>
      <c r="E294" s="130" t="s">
        <v>215</v>
      </c>
      <c r="F294" s="119">
        <v>751201</v>
      </c>
      <c r="G294" s="119" t="s">
        <v>866</v>
      </c>
      <c r="H294" s="119" t="s">
        <v>1345</v>
      </c>
      <c r="I294" s="131">
        <v>1</v>
      </c>
      <c r="J294" s="141" t="s">
        <v>229</v>
      </c>
      <c r="K294" s="122" t="s">
        <v>105</v>
      </c>
      <c r="L294" s="46"/>
      <c r="M294" s="7"/>
      <c r="N294" s="64"/>
      <c r="O294" s="7"/>
      <c r="P294" s="7"/>
      <c r="Q294" s="7"/>
    </row>
    <row r="295" spans="2:17" customFormat="1" hidden="1">
      <c r="B295" s="119" t="s">
        <v>490</v>
      </c>
      <c r="C295" s="130" t="s">
        <v>555</v>
      </c>
      <c r="D295" s="119" t="s">
        <v>556</v>
      </c>
      <c r="E295" s="130" t="s">
        <v>84</v>
      </c>
      <c r="F295" s="119">
        <v>343101</v>
      </c>
      <c r="G295" s="119" t="s">
        <v>261</v>
      </c>
      <c r="H295" s="119" t="s">
        <v>1329</v>
      </c>
      <c r="I295" s="131">
        <v>1</v>
      </c>
      <c r="J295" s="141" t="s">
        <v>195</v>
      </c>
      <c r="K295" s="122" t="s">
        <v>41</v>
      </c>
      <c r="L295" s="46"/>
      <c r="M295" s="7"/>
      <c r="N295" s="7"/>
      <c r="O295" s="7"/>
      <c r="P295" s="7"/>
      <c r="Q295" s="7"/>
    </row>
    <row r="296" spans="2:17" customFormat="1" hidden="1">
      <c r="B296" s="119" t="s">
        <v>491</v>
      </c>
      <c r="C296" s="130" t="s">
        <v>555</v>
      </c>
      <c r="D296" s="119" t="s">
        <v>556</v>
      </c>
      <c r="E296" s="130" t="s">
        <v>218</v>
      </c>
      <c r="F296" s="119">
        <v>753402</v>
      </c>
      <c r="G296" s="119" t="s">
        <v>570</v>
      </c>
      <c r="H296" s="133" t="s">
        <v>1424</v>
      </c>
      <c r="I296" s="131">
        <v>2</v>
      </c>
      <c r="J296" s="141" t="s">
        <v>558</v>
      </c>
      <c r="K296" s="122" t="s">
        <v>939</v>
      </c>
      <c r="L296" s="60"/>
      <c r="M296" s="7"/>
      <c r="N296" s="7"/>
      <c r="O296" s="7"/>
      <c r="P296" s="7"/>
      <c r="Q296" s="7"/>
    </row>
    <row r="297" spans="2:17" customFormat="1" hidden="1">
      <c r="B297" s="119" t="s">
        <v>492</v>
      </c>
      <c r="C297" s="156" t="s">
        <v>2337</v>
      </c>
      <c r="D297" s="119" t="s">
        <v>561</v>
      </c>
      <c r="E297" s="283" t="s">
        <v>45</v>
      </c>
      <c r="F297" s="119">
        <v>522301</v>
      </c>
      <c r="G297" s="119" t="s">
        <v>200</v>
      </c>
      <c r="H297" s="119" t="s">
        <v>1434</v>
      </c>
      <c r="I297" s="131">
        <v>3</v>
      </c>
      <c r="J297" s="141" t="s">
        <v>141</v>
      </c>
      <c r="K297" s="122" t="s">
        <v>943</v>
      </c>
      <c r="L297" s="45"/>
      <c r="M297" s="7"/>
      <c r="N297" s="7"/>
      <c r="O297" s="7"/>
      <c r="P297" s="7"/>
      <c r="Q297" s="7"/>
    </row>
    <row r="298" spans="2:17" customFormat="1" hidden="1">
      <c r="B298" s="119" t="s">
        <v>493</v>
      </c>
      <c r="C298" s="156" t="s">
        <v>2337</v>
      </c>
      <c r="D298" s="119" t="s">
        <v>561</v>
      </c>
      <c r="E298" s="130" t="s">
        <v>215</v>
      </c>
      <c r="F298" s="119">
        <v>751201</v>
      </c>
      <c r="G298" s="119" t="s">
        <v>866</v>
      </c>
      <c r="H298" s="119" t="s">
        <v>1409</v>
      </c>
      <c r="I298" s="131">
        <v>6</v>
      </c>
      <c r="J298" s="141" t="s">
        <v>141</v>
      </c>
      <c r="K298" s="122" t="s">
        <v>943</v>
      </c>
      <c r="L298" s="45"/>
      <c r="M298" s="7"/>
      <c r="N298" s="7"/>
      <c r="O298" s="7"/>
      <c r="P298" s="7"/>
      <c r="Q298" s="7"/>
    </row>
    <row r="299" spans="2:17" customFormat="1" hidden="1">
      <c r="B299" s="119" t="s">
        <v>494</v>
      </c>
      <c r="C299" s="156" t="s">
        <v>2337</v>
      </c>
      <c r="D299" s="119" t="s">
        <v>561</v>
      </c>
      <c r="E299" s="130" t="s">
        <v>34</v>
      </c>
      <c r="F299" s="119">
        <v>723103</v>
      </c>
      <c r="G299" s="119" t="s">
        <v>201</v>
      </c>
      <c r="H299" s="119" t="s">
        <v>2331</v>
      </c>
      <c r="I299" s="131">
        <v>6</v>
      </c>
      <c r="J299" s="141" t="s">
        <v>141</v>
      </c>
      <c r="K299" s="122" t="s">
        <v>943</v>
      </c>
      <c r="L299" s="45"/>
      <c r="M299" s="42"/>
      <c r="N299" s="9"/>
      <c r="O299" s="7"/>
      <c r="P299" s="7"/>
      <c r="Q299" s="7"/>
    </row>
    <row r="300" spans="2:17" customFormat="1" ht="15.75" hidden="1">
      <c r="B300" s="119" t="s">
        <v>500</v>
      </c>
      <c r="C300" s="156" t="s">
        <v>2337</v>
      </c>
      <c r="D300" s="119" t="s">
        <v>561</v>
      </c>
      <c r="E300" s="130" t="s">
        <v>44</v>
      </c>
      <c r="F300" s="119">
        <v>512001</v>
      </c>
      <c r="G300" s="119" t="s">
        <v>203</v>
      </c>
      <c r="H300" s="119" t="s">
        <v>1434</v>
      </c>
      <c r="I300" s="131">
        <v>5</v>
      </c>
      <c r="J300" s="141" t="s">
        <v>141</v>
      </c>
      <c r="K300" s="122" t="s">
        <v>943</v>
      </c>
      <c r="L300" s="62"/>
      <c r="M300" s="42"/>
      <c r="N300" s="9"/>
      <c r="O300" s="7"/>
      <c r="P300" s="7"/>
      <c r="Q300" s="7"/>
    </row>
    <row r="301" spans="2:17" customFormat="1" ht="15.75" hidden="1">
      <c r="B301" s="119" t="s">
        <v>501</v>
      </c>
      <c r="C301" s="156" t="s">
        <v>2337</v>
      </c>
      <c r="D301" s="119" t="s">
        <v>561</v>
      </c>
      <c r="E301" s="283" t="s">
        <v>36</v>
      </c>
      <c r="F301" s="119">
        <v>514101</v>
      </c>
      <c r="G301" s="119" t="s">
        <v>197</v>
      </c>
      <c r="H301" s="119" t="s">
        <v>2331</v>
      </c>
      <c r="I301" s="131">
        <v>11</v>
      </c>
      <c r="J301" s="141" t="s">
        <v>141</v>
      </c>
      <c r="K301" s="122" t="s">
        <v>943</v>
      </c>
      <c r="L301" s="62"/>
      <c r="M301" s="12"/>
      <c r="N301" s="7"/>
      <c r="O301" s="7"/>
      <c r="P301" s="7"/>
      <c r="Q301" s="7"/>
    </row>
    <row r="302" spans="2:17" customFormat="1" ht="15.75" hidden="1">
      <c r="B302" s="119" t="s">
        <v>502</v>
      </c>
      <c r="C302" s="156" t="s">
        <v>2337</v>
      </c>
      <c r="D302" s="119" t="s">
        <v>561</v>
      </c>
      <c r="E302" s="130" t="s">
        <v>103</v>
      </c>
      <c r="F302" s="119">
        <v>722307</v>
      </c>
      <c r="G302" s="119" t="s">
        <v>244</v>
      </c>
      <c r="H302" s="119" t="s">
        <v>1344</v>
      </c>
      <c r="I302" s="131">
        <v>6</v>
      </c>
      <c r="J302" s="141" t="s">
        <v>229</v>
      </c>
      <c r="K302" s="122" t="s">
        <v>105</v>
      </c>
      <c r="L302" s="62"/>
      <c r="M302" s="12"/>
      <c r="N302" s="7"/>
      <c r="O302" s="7"/>
      <c r="P302" s="7"/>
      <c r="Q302" s="7"/>
    </row>
    <row r="303" spans="2:17" customFormat="1" ht="15.75" hidden="1">
      <c r="B303" s="119" t="s">
        <v>503</v>
      </c>
      <c r="C303" s="156" t="s">
        <v>2337</v>
      </c>
      <c r="D303" s="119" t="s">
        <v>561</v>
      </c>
      <c r="E303" s="130" t="s">
        <v>53</v>
      </c>
      <c r="F303" s="119">
        <v>741203</v>
      </c>
      <c r="G303" s="119" t="s">
        <v>232</v>
      </c>
      <c r="H303" s="119" t="s">
        <v>1344</v>
      </c>
      <c r="I303" s="131">
        <v>1</v>
      </c>
      <c r="J303" s="141" t="s">
        <v>229</v>
      </c>
      <c r="K303" s="122" t="s">
        <v>105</v>
      </c>
      <c r="L303" s="62"/>
      <c r="M303" s="12"/>
      <c r="N303" s="7"/>
      <c r="O303" s="7"/>
      <c r="P303" s="7"/>
      <c r="Q303" s="7"/>
    </row>
    <row r="304" spans="2:17" customFormat="1" hidden="1">
      <c r="B304" s="119" t="s">
        <v>504</v>
      </c>
      <c r="C304" s="130" t="s">
        <v>562</v>
      </c>
      <c r="D304" s="119" t="s">
        <v>192</v>
      </c>
      <c r="E304" s="283" t="s">
        <v>36</v>
      </c>
      <c r="F304" s="119">
        <v>514101</v>
      </c>
      <c r="G304" s="119" t="s">
        <v>197</v>
      </c>
      <c r="H304" s="133" t="s">
        <v>1347</v>
      </c>
      <c r="I304" s="319">
        <v>0</v>
      </c>
      <c r="J304" s="141" t="s">
        <v>229</v>
      </c>
      <c r="K304" s="221" t="s">
        <v>105</v>
      </c>
      <c r="L304" s="61"/>
      <c r="M304" s="12"/>
      <c r="N304" s="7"/>
      <c r="O304" s="7"/>
      <c r="P304" s="7"/>
      <c r="Q304" s="7"/>
    </row>
    <row r="305" spans="2:17" customFormat="1" hidden="1">
      <c r="B305" s="119" t="s">
        <v>505</v>
      </c>
      <c r="C305" s="130" t="s">
        <v>562</v>
      </c>
      <c r="D305" s="119" t="s">
        <v>192</v>
      </c>
      <c r="E305" s="130" t="s">
        <v>44</v>
      </c>
      <c r="F305" s="119">
        <v>512001</v>
      </c>
      <c r="G305" s="119" t="s">
        <v>203</v>
      </c>
      <c r="H305" s="119" t="s">
        <v>1345</v>
      </c>
      <c r="I305" s="131">
        <v>3</v>
      </c>
      <c r="J305" s="141" t="s">
        <v>229</v>
      </c>
      <c r="K305" s="122" t="s">
        <v>105</v>
      </c>
      <c r="L305" s="61"/>
      <c r="M305" s="12"/>
      <c r="N305" s="7"/>
      <c r="O305" s="7"/>
      <c r="P305" s="7"/>
      <c r="Q305" s="7"/>
    </row>
    <row r="306" spans="2:17" customFormat="1" hidden="1">
      <c r="B306" s="119" t="s">
        <v>506</v>
      </c>
      <c r="C306" s="130" t="s">
        <v>562</v>
      </c>
      <c r="D306" s="119" t="s">
        <v>192</v>
      </c>
      <c r="E306" s="130" t="s">
        <v>34</v>
      </c>
      <c r="F306" s="119">
        <v>723103</v>
      </c>
      <c r="G306" s="119" t="s">
        <v>201</v>
      </c>
      <c r="H306" s="133" t="s">
        <v>1347</v>
      </c>
      <c r="I306" s="131">
        <v>3</v>
      </c>
      <c r="J306" s="141" t="s">
        <v>229</v>
      </c>
      <c r="K306" s="122" t="s">
        <v>105</v>
      </c>
      <c r="L306" s="61"/>
      <c r="M306" s="12"/>
      <c r="N306" s="7"/>
      <c r="O306" s="7"/>
      <c r="P306" s="7"/>
      <c r="Q306" s="7"/>
    </row>
    <row r="307" spans="2:17" customFormat="1" hidden="1">
      <c r="B307" s="119" t="s">
        <v>507</v>
      </c>
      <c r="C307" s="130" t="s">
        <v>562</v>
      </c>
      <c r="D307" s="119" t="s">
        <v>192</v>
      </c>
      <c r="E307" s="283" t="s">
        <v>45</v>
      </c>
      <c r="F307" s="119">
        <v>522301</v>
      </c>
      <c r="G307" s="119" t="s">
        <v>200</v>
      </c>
      <c r="H307" s="119" t="s">
        <v>2394</v>
      </c>
      <c r="I307" s="131">
        <v>2</v>
      </c>
      <c r="J307" s="141" t="s">
        <v>229</v>
      </c>
      <c r="K307" s="122" t="s">
        <v>105</v>
      </c>
      <c r="L307" s="61"/>
      <c r="M307" s="7"/>
      <c r="N307" s="7"/>
      <c r="O307" s="7"/>
      <c r="P307" s="7"/>
      <c r="Q307" s="7"/>
    </row>
    <row r="308" spans="2:17" hidden="1">
      <c r="B308" s="119" t="s">
        <v>508</v>
      </c>
      <c r="C308" s="283" t="s">
        <v>563</v>
      </c>
      <c r="D308" s="119" t="s">
        <v>564</v>
      </c>
      <c r="E308" s="283" t="s">
        <v>36</v>
      </c>
      <c r="F308" s="152">
        <v>514101</v>
      </c>
      <c r="G308" s="119" t="s">
        <v>197</v>
      </c>
      <c r="H308" s="119" t="s">
        <v>1427</v>
      </c>
      <c r="I308" s="153">
        <v>3</v>
      </c>
      <c r="J308" s="280" t="s">
        <v>116</v>
      </c>
      <c r="K308" s="207" t="s">
        <v>942</v>
      </c>
      <c r="L308" s="10"/>
      <c r="M308" s="10"/>
      <c r="N308" s="10"/>
      <c r="O308" s="10"/>
      <c r="P308" s="10"/>
      <c r="Q308" s="281"/>
    </row>
    <row r="309" spans="2:17" hidden="1">
      <c r="B309" s="119" t="s">
        <v>509</v>
      </c>
      <c r="C309" s="283" t="s">
        <v>563</v>
      </c>
      <c r="D309" s="119" t="s">
        <v>564</v>
      </c>
      <c r="E309" s="130" t="s">
        <v>44</v>
      </c>
      <c r="F309" s="152">
        <v>512001</v>
      </c>
      <c r="G309" s="119" t="s">
        <v>203</v>
      </c>
      <c r="H309" s="154" t="s">
        <v>1420</v>
      </c>
      <c r="I309" s="153">
        <v>1</v>
      </c>
      <c r="J309" s="280" t="s">
        <v>116</v>
      </c>
      <c r="K309" s="207" t="s">
        <v>942</v>
      </c>
      <c r="L309" s="10"/>
      <c r="M309" s="10"/>
      <c r="N309" s="10"/>
      <c r="O309" s="10"/>
      <c r="P309" s="10"/>
      <c r="Q309" s="281"/>
    </row>
    <row r="310" spans="2:17" ht="14.25" hidden="1" customHeight="1">
      <c r="B310" s="119" t="s">
        <v>510</v>
      </c>
      <c r="C310" s="283" t="s">
        <v>563</v>
      </c>
      <c r="D310" s="119" t="s">
        <v>564</v>
      </c>
      <c r="E310" s="283" t="s">
        <v>45</v>
      </c>
      <c r="F310" s="152">
        <v>522301</v>
      </c>
      <c r="G310" s="119" t="s">
        <v>200</v>
      </c>
      <c r="H310" s="134" t="s">
        <v>2288</v>
      </c>
      <c r="I310" s="153">
        <v>1</v>
      </c>
      <c r="J310" s="280" t="s">
        <v>116</v>
      </c>
      <c r="K310" s="207" t="s">
        <v>942</v>
      </c>
      <c r="L310" s="10"/>
      <c r="M310" s="10"/>
      <c r="N310" s="10"/>
      <c r="O310" s="10"/>
      <c r="P310" s="10"/>
      <c r="Q310" s="281"/>
    </row>
    <row r="311" spans="2:17" customFormat="1" hidden="1">
      <c r="B311" s="119" t="s">
        <v>511</v>
      </c>
      <c r="C311" s="130" t="s">
        <v>563</v>
      </c>
      <c r="D311" s="119" t="s">
        <v>564</v>
      </c>
      <c r="E311" s="130" t="s">
        <v>39</v>
      </c>
      <c r="F311" s="152">
        <v>711204</v>
      </c>
      <c r="G311" s="119" t="s">
        <v>196</v>
      </c>
      <c r="H311" s="119" t="s">
        <v>2394</v>
      </c>
      <c r="I311" s="153">
        <v>2</v>
      </c>
      <c r="J311" s="141" t="s">
        <v>229</v>
      </c>
      <c r="K311" s="122" t="s">
        <v>105</v>
      </c>
      <c r="L311" s="61"/>
      <c r="M311" s="7"/>
      <c r="N311" s="7"/>
      <c r="O311" s="7"/>
      <c r="P311" s="7"/>
      <c r="Q311" s="7"/>
    </row>
    <row r="312" spans="2:17" customFormat="1" hidden="1">
      <c r="B312" s="119" t="s">
        <v>512</v>
      </c>
      <c r="C312" s="130" t="s">
        <v>563</v>
      </c>
      <c r="D312" s="119" t="s">
        <v>564</v>
      </c>
      <c r="E312" s="130" t="s">
        <v>103</v>
      </c>
      <c r="F312" s="152">
        <v>722307</v>
      </c>
      <c r="G312" s="119" t="s">
        <v>244</v>
      </c>
      <c r="H312" s="152" t="s">
        <v>1348</v>
      </c>
      <c r="I312" s="153">
        <v>3</v>
      </c>
      <c r="J312" s="141" t="s">
        <v>229</v>
      </c>
      <c r="K312" s="122" t="s">
        <v>105</v>
      </c>
      <c r="L312" s="61"/>
      <c r="M312" s="7"/>
      <c r="N312" s="7"/>
      <c r="O312" s="7"/>
      <c r="P312" s="7"/>
      <c r="Q312" s="7"/>
    </row>
    <row r="313" spans="2:17" customFormat="1" hidden="1">
      <c r="B313" s="119" t="s">
        <v>513</v>
      </c>
      <c r="C313" s="130" t="s">
        <v>563</v>
      </c>
      <c r="D313" s="119" t="s">
        <v>564</v>
      </c>
      <c r="E313" s="130" t="s">
        <v>206</v>
      </c>
      <c r="F313" s="152">
        <v>722204</v>
      </c>
      <c r="G313" s="119" t="s">
        <v>207</v>
      </c>
      <c r="H313" s="119" t="s">
        <v>1345</v>
      </c>
      <c r="I313" s="153">
        <v>1</v>
      </c>
      <c r="J313" s="141" t="s">
        <v>229</v>
      </c>
      <c r="K313" s="122" t="s">
        <v>105</v>
      </c>
      <c r="L313" s="61"/>
      <c r="M313" s="7"/>
      <c r="N313" s="7"/>
      <c r="O313" s="7"/>
      <c r="P313" s="7"/>
      <c r="Q313" s="7"/>
    </row>
    <row r="314" spans="2:17" customFormat="1" hidden="1">
      <c r="B314" s="119" t="s">
        <v>514</v>
      </c>
      <c r="C314" s="130" t="s">
        <v>567</v>
      </c>
      <c r="D314" s="119" t="s">
        <v>568</v>
      </c>
      <c r="E314" s="130" t="s">
        <v>33</v>
      </c>
      <c r="F314" s="119">
        <v>752205</v>
      </c>
      <c r="G314" s="119" t="s">
        <v>204</v>
      </c>
      <c r="H314" s="119" t="s">
        <v>1409</v>
      </c>
      <c r="I314" s="131">
        <v>3</v>
      </c>
      <c r="J314" s="141" t="s">
        <v>141</v>
      </c>
      <c r="K314" s="122" t="s">
        <v>943</v>
      </c>
      <c r="L314" s="45"/>
      <c r="M314" s="7"/>
      <c r="N314" s="7"/>
      <c r="O314" s="7"/>
      <c r="P314" s="7"/>
      <c r="Q314" s="7"/>
    </row>
    <row r="315" spans="2:17" customFormat="1" hidden="1">
      <c r="B315" s="119" t="s">
        <v>515</v>
      </c>
      <c r="C315" s="130" t="s">
        <v>567</v>
      </c>
      <c r="D315" s="119" t="s">
        <v>568</v>
      </c>
      <c r="E315" s="130" t="s">
        <v>38</v>
      </c>
      <c r="F315" s="119">
        <v>741103</v>
      </c>
      <c r="G315" s="119" t="s">
        <v>205</v>
      </c>
      <c r="H315" s="119" t="s">
        <v>1409</v>
      </c>
      <c r="I315" s="131">
        <v>1</v>
      </c>
      <c r="J315" s="141" t="s">
        <v>141</v>
      </c>
      <c r="K315" s="122" t="s">
        <v>943</v>
      </c>
      <c r="L315" s="45"/>
      <c r="M315" s="7"/>
      <c r="N315" s="7"/>
      <c r="O315" s="7"/>
      <c r="P315" s="7"/>
      <c r="Q315" s="7"/>
    </row>
    <row r="316" spans="2:17" customFormat="1" hidden="1">
      <c r="B316" s="119" t="s">
        <v>516</v>
      </c>
      <c r="C316" s="130" t="s">
        <v>567</v>
      </c>
      <c r="D316" s="119" t="s">
        <v>568</v>
      </c>
      <c r="E316" s="283" t="s">
        <v>36</v>
      </c>
      <c r="F316" s="119">
        <v>514101</v>
      </c>
      <c r="G316" s="119" t="s">
        <v>197</v>
      </c>
      <c r="H316" s="119" t="s">
        <v>1409</v>
      </c>
      <c r="I316" s="131">
        <v>2</v>
      </c>
      <c r="J316" s="141" t="s">
        <v>141</v>
      </c>
      <c r="K316" s="122" t="s">
        <v>943</v>
      </c>
      <c r="L316" s="45"/>
      <c r="M316" s="7"/>
      <c r="N316" s="7"/>
      <c r="O316" s="7"/>
      <c r="P316" s="7"/>
      <c r="Q316" s="7"/>
    </row>
    <row r="317" spans="2:17" customFormat="1" hidden="1">
      <c r="B317" s="119" t="s">
        <v>946</v>
      </c>
      <c r="C317" s="130" t="s">
        <v>567</v>
      </c>
      <c r="D317" s="119" t="s">
        <v>568</v>
      </c>
      <c r="E317" s="130" t="s">
        <v>34</v>
      </c>
      <c r="F317" s="119">
        <v>723103</v>
      </c>
      <c r="G317" s="119" t="s">
        <v>201</v>
      </c>
      <c r="H317" s="119" t="s">
        <v>2331</v>
      </c>
      <c r="I317" s="131">
        <v>3</v>
      </c>
      <c r="J317" s="141" t="s">
        <v>141</v>
      </c>
      <c r="K317" s="122" t="s">
        <v>943</v>
      </c>
      <c r="L317" s="45"/>
      <c r="M317" s="7"/>
      <c r="N317" s="7"/>
      <c r="O317" s="7"/>
      <c r="P317" s="7"/>
      <c r="Q317" s="7"/>
    </row>
    <row r="318" spans="2:17" customFormat="1" hidden="1">
      <c r="B318" s="119" t="s">
        <v>947</v>
      </c>
      <c r="C318" s="130" t="s">
        <v>567</v>
      </c>
      <c r="D318" s="119" t="s">
        <v>568</v>
      </c>
      <c r="E318" s="130" t="s">
        <v>144</v>
      </c>
      <c r="F318" s="119">
        <v>712618</v>
      </c>
      <c r="G318" s="119" t="s">
        <v>199</v>
      </c>
      <c r="H318" s="119" t="s">
        <v>1343</v>
      </c>
      <c r="I318" s="131">
        <v>1</v>
      </c>
      <c r="J318" s="141" t="s">
        <v>229</v>
      </c>
      <c r="K318" s="122" t="s">
        <v>105</v>
      </c>
      <c r="L318" s="61"/>
      <c r="M318" s="7"/>
      <c r="N318" s="7"/>
      <c r="O318" s="7"/>
      <c r="P318" s="7"/>
      <c r="Q318" s="7"/>
    </row>
    <row r="319" spans="2:17" customFormat="1" hidden="1">
      <c r="B319" s="119" t="s">
        <v>948</v>
      </c>
      <c r="C319" s="130" t="s">
        <v>567</v>
      </c>
      <c r="D319" s="119" t="s">
        <v>568</v>
      </c>
      <c r="E319" s="130" t="s">
        <v>39</v>
      </c>
      <c r="F319" s="119">
        <v>711204</v>
      </c>
      <c r="G319" s="119" t="s">
        <v>196</v>
      </c>
      <c r="H319" s="119" t="s">
        <v>2394</v>
      </c>
      <c r="I319" s="131">
        <v>1</v>
      </c>
      <c r="J319" s="141" t="s">
        <v>229</v>
      </c>
      <c r="K319" s="122" t="s">
        <v>105</v>
      </c>
      <c r="L319" s="61"/>
      <c r="M319" s="7"/>
      <c r="N319" s="7"/>
      <c r="O319" s="7"/>
      <c r="P319" s="7"/>
      <c r="Q319" s="7"/>
    </row>
    <row r="320" spans="2:17" customFormat="1" hidden="1">
      <c r="B320" s="119" t="s">
        <v>949</v>
      </c>
      <c r="C320" s="130" t="s">
        <v>567</v>
      </c>
      <c r="D320" s="119" t="s">
        <v>568</v>
      </c>
      <c r="E320" s="130" t="s">
        <v>52</v>
      </c>
      <c r="F320" s="119">
        <v>721306</v>
      </c>
      <c r="G320" s="119" t="s">
        <v>569</v>
      </c>
      <c r="H320" s="119" t="s">
        <v>1349</v>
      </c>
      <c r="I320" s="131">
        <v>1</v>
      </c>
      <c r="J320" s="141" t="s">
        <v>229</v>
      </c>
      <c r="K320" s="122" t="s">
        <v>105</v>
      </c>
      <c r="L320" s="61"/>
      <c r="M320" s="7"/>
      <c r="N320" s="7"/>
      <c r="O320" s="7"/>
      <c r="P320" s="7"/>
      <c r="Q320" s="7"/>
    </row>
    <row r="321" spans="2:17" customFormat="1" hidden="1">
      <c r="B321" s="119" t="s">
        <v>950</v>
      </c>
      <c r="C321" s="130" t="s">
        <v>567</v>
      </c>
      <c r="D321" s="119" t="s">
        <v>568</v>
      </c>
      <c r="E321" s="283" t="s">
        <v>45</v>
      </c>
      <c r="F321" s="119">
        <v>522301</v>
      </c>
      <c r="G321" s="119" t="s">
        <v>200</v>
      </c>
      <c r="H321" s="119" t="s">
        <v>1434</v>
      </c>
      <c r="I321" s="131">
        <v>2</v>
      </c>
      <c r="J321" s="141" t="s">
        <v>141</v>
      </c>
      <c r="K321" s="122" t="s">
        <v>943</v>
      </c>
      <c r="L321" s="45"/>
      <c r="M321" s="7"/>
      <c r="N321" s="7"/>
      <c r="O321" s="7"/>
      <c r="P321" s="7"/>
      <c r="Q321" s="7"/>
    </row>
    <row r="322" spans="2:17" customFormat="1" hidden="1">
      <c r="B322" s="119" t="s">
        <v>951</v>
      </c>
      <c r="C322" s="130" t="s">
        <v>567</v>
      </c>
      <c r="D322" s="119" t="s">
        <v>568</v>
      </c>
      <c r="E322" s="130" t="s">
        <v>58</v>
      </c>
      <c r="F322" s="119">
        <v>753402</v>
      </c>
      <c r="G322" s="119" t="s">
        <v>570</v>
      </c>
      <c r="H322" s="119" t="s">
        <v>2415</v>
      </c>
      <c r="I322" s="131">
        <v>15</v>
      </c>
      <c r="J322" s="141" t="s">
        <v>141</v>
      </c>
      <c r="K322" s="122" t="s">
        <v>943</v>
      </c>
      <c r="L322" s="45"/>
      <c r="M322" s="7"/>
      <c r="N322" s="7"/>
      <c r="O322" s="7"/>
      <c r="P322" s="7"/>
      <c r="Q322" s="7"/>
    </row>
    <row r="323" spans="2:17" customFormat="1">
      <c r="B323" s="119" t="s">
        <v>952</v>
      </c>
      <c r="C323" s="130" t="s">
        <v>567</v>
      </c>
      <c r="D323" s="119" t="s">
        <v>568</v>
      </c>
      <c r="E323" s="130" t="s">
        <v>571</v>
      </c>
      <c r="F323" s="119">
        <v>751107</v>
      </c>
      <c r="G323" s="119" t="s">
        <v>572</v>
      </c>
      <c r="H323" s="444" t="s">
        <v>2394</v>
      </c>
      <c r="I323" s="131">
        <v>1</v>
      </c>
      <c r="J323" s="141" t="s">
        <v>61</v>
      </c>
      <c r="K323" s="122" t="s">
        <v>851</v>
      </c>
      <c r="L323" s="45"/>
      <c r="M323" s="7"/>
      <c r="N323" s="7"/>
      <c r="O323" s="7"/>
      <c r="P323" s="7"/>
      <c r="Q323" s="7"/>
    </row>
    <row r="324" spans="2:17" customFormat="1" hidden="1">
      <c r="B324" s="119" t="s">
        <v>953</v>
      </c>
      <c r="C324" s="130" t="s">
        <v>574</v>
      </c>
      <c r="D324" s="119" t="s">
        <v>256</v>
      </c>
      <c r="E324" s="130" t="s">
        <v>34</v>
      </c>
      <c r="F324" s="119">
        <v>723103</v>
      </c>
      <c r="G324" s="119" t="s">
        <v>201</v>
      </c>
      <c r="H324" s="133"/>
      <c r="I324" s="319">
        <v>0</v>
      </c>
      <c r="J324" s="141" t="s">
        <v>229</v>
      </c>
      <c r="K324" s="122"/>
      <c r="L324" s="61"/>
      <c r="M324" s="7"/>
      <c r="N324" s="7"/>
      <c r="O324" s="7"/>
      <c r="P324" s="7"/>
      <c r="Q324" s="7"/>
    </row>
    <row r="325" spans="2:17" customFormat="1" hidden="1">
      <c r="B325" s="119" t="s">
        <v>954</v>
      </c>
      <c r="C325" s="130" t="s">
        <v>574</v>
      </c>
      <c r="D325" s="119" t="s">
        <v>256</v>
      </c>
      <c r="E325" s="130" t="s">
        <v>215</v>
      </c>
      <c r="F325" s="119">
        <v>751201</v>
      </c>
      <c r="G325" s="119" t="s">
        <v>866</v>
      </c>
      <c r="H325" s="119" t="s">
        <v>1345</v>
      </c>
      <c r="I325" s="131">
        <v>1</v>
      </c>
      <c r="J325" s="141" t="s">
        <v>229</v>
      </c>
      <c r="K325" s="122" t="s">
        <v>105</v>
      </c>
      <c r="L325" s="61"/>
      <c r="M325" s="7"/>
      <c r="N325" s="7"/>
      <c r="O325" s="7"/>
      <c r="P325" s="7"/>
      <c r="Q325" s="7"/>
    </row>
    <row r="326" spans="2:17" customFormat="1" hidden="1">
      <c r="B326" s="119" t="s">
        <v>955</v>
      </c>
      <c r="C326" s="130" t="s">
        <v>574</v>
      </c>
      <c r="D326" s="119" t="s">
        <v>256</v>
      </c>
      <c r="E326" s="283" t="s">
        <v>36</v>
      </c>
      <c r="F326" s="119">
        <v>722204</v>
      </c>
      <c r="G326" s="119" t="s">
        <v>197</v>
      </c>
      <c r="H326" s="133" t="s">
        <v>1347</v>
      </c>
      <c r="I326" s="131">
        <v>1</v>
      </c>
      <c r="J326" s="141" t="s">
        <v>229</v>
      </c>
      <c r="K326" s="122" t="s">
        <v>105</v>
      </c>
      <c r="L326" s="61"/>
      <c r="M326" s="7"/>
      <c r="N326" s="7"/>
      <c r="O326" s="7"/>
      <c r="P326" s="7"/>
      <c r="Q326" s="7"/>
    </row>
    <row r="327" spans="2:17" customFormat="1" hidden="1">
      <c r="B327" s="119" t="s">
        <v>956</v>
      </c>
      <c r="C327" s="130" t="s">
        <v>574</v>
      </c>
      <c r="D327" s="119" t="s">
        <v>256</v>
      </c>
      <c r="E327" s="130" t="s">
        <v>144</v>
      </c>
      <c r="F327" s="119">
        <v>514101</v>
      </c>
      <c r="G327" s="119" t="s">
        <v>199</v>
      </c>
      <c r="H327" s="119" t="s">
        <v>1343</v>
      </c>
      <c r="I327" s="131">
        <v>1</v>
      </c>
      <c r="J327" s="141" t="s">
        <v>229</v>
      </c>
      <c r="K327" s="122" t="s">
        <v>105</v>
      </c>
      <c r="L327" s="61"/>
      <c r="M327" s="7"/>
      <c r="N327" s="7"/>
      <c r="O327" s="7"/>
      <c r="P327" s="7"/>
      <c r="Q327" s="7"/>
    </row>
    <row r="328" spans="2:17" customFormat="1" hidden="1">
      <c r="B328" s="119" t="s">
        <v>957</v>
      </c>
      <c r="C328" s="130" t="s">
        <v>574</v>
      </c>
      <c r="D328" s="119" t="s">
        <v>256</v>
      </c>
      <c r="E328" s="283" t="s">
        <v>45</v>
      </c>
      <c r="F328" s="119">
        <v>522301</v>
      </c>
      <c r="G328" s="119" t="s">
        <v>200</v>
      </c>
      <c r="H328" s="119" t="s">
        <v>2394</v>
      </c>
      <c r="I328" s="131">
        <v>1</v>
      </c>
      <c r="J328" s="141" t="s">
        <v>229</v>
      </c>
      <c r="K328" s="122" t="s">
        <v>105</v>
      </c>
      <c r="L328" s="61"/>
      <c r="M328" s="7"/>
      <c r="N328" s="7"/>
      <c r="O328" s="7"/>
      <c r="P328" s="7"/>
      <c r="Q328" s="7"/>
    </row>
    <row r="329" spans="2:17" customFormat="1" hidden="1">
      <c r="B329" s="119" t="s">
        <v>958</v>
      </c>
      <c r="C329" s="130" t="s">
        <v>574</v>
      </c>
      <c r="D329" s="119" t="s">
        <v>256</v>
      </c>
      <c r="E329" s="130" t="s">
        <v>56</v>
      </c>
      <c r="F329" s="120">
        <v>712905</v>
      </c>
      <c r="G329" s="120" t="s">
        <v>202</v>
      </c>
      <c r="H329" s="120" t="s">
        <v>1343</v>
      </c>
      <c r="I329" s="137">
        <v>1</v>
      </c>
      <c r="J329" s="198" t="s">
        <v>1423</v>
      </c>
      <c r="K329" s="122" t="s">
        <v>41</v>
      </c>
      <c r="L329" s="61"/>
      <c r="M329" s="7"/>
      <c r="N329" s="7"/>
      <c r="O329" s="7"/>
      <c r="P329" s="7"/>
      <c r="Q329" s="7"/>
    </row>
    <row r="330" spans="2:17" customFormat="1" hidden="1">
      <c r="B330" s="119" t="s">
        <v>959</v>
      </c>
      <c r="C330" s="130" t="s">
        <v>574</v>
      </c>
      <c r="D330" s="119" t="s">
        <v>256</v>
      </c>
      <c r="E330" s="122" t="s">
        <v>206</v>
      </c>
      <c r="F330" s="120">
        <v>722204</v>
      </c>
      <c r="G330" s="120" t="s">
        <v>207</v>
      </c>
      <c r="H330" s="120" t="s">
        <v>1345</v>
      </c>
      <c r="I330" s="137">
        <v>1</v>
      </c>
      <c r="J330" s="141" t="s">
        <v>229</v>
      </c>
      <c r="K330" s="122" t="s">
        <v>105</v>
      </c>
      <c r="L330" s="61"/>
      <c r="M330" s="7"/>
      <c r="N330" s="7"/>
      <c r="O330" s="7"/>
      <c r="P330" s="7"/>
      <c r="Q330" s="7"/>
    </row>
    <row r="331" spans="2:17" customFormat="1" hidden="1">
      <c r="B331" s="119" t="s">
        <v>960</v>
      </c>
      <c r="C331" s="130" t="s">
        <v>574</v>
      </c>
      <c r="D331" s="119" t="s">
        <v>256</v>
      </c>
      <c r="E331" s="130" t="s">
        <v>38</v>
      </c>
      <c r="F331" s="119">
        <v>741103</v>
      </c>
      <c r="G331" s="119" t="s">
        <v>205</v>
      </c>
      <c r="H331" s="119" t="s">
        <v>1343</v>
      </c>
      <c r="I331" s="131">
        <v>1</v>
      </c>
      <c r="J331" s="141" t="s">
        <v>229</v>
      </c>
      <c r="K331" s="122" t="s">
        <v>105</v>
      </c>
      <c r="L331" s="61"/>
      <c r="M331" s="7"/>
      <c r="N331" s="7"/>
      <c r="O331" s="7"/>
      <c r="P331" s="7"/>
      <c r="Q331" s="7"/>
    </row>
    <row r="332" spans="2:17" customFormat="1" hidden="1">
      <c r="B332" s="119" t="s">
        <v>961</v>
      </c>
      <c r="C332" s="122" t="s">
        <v>575</v>
      </c>
      <c r="D332" s="120" t="s">
        <v>576</v>
      </c>
      <c r="E332" s="130" t="s">
        <v>44</v>
      </c>
      <c r="F332" s="152">
        <v>512001</v>
      </c>
      <c r="G332" s="119" t="s">
        <v>203</v>
      </c>
      <c r="H332" s="119" t="s">
        <v>1345</v>
      </c>
      <c r="I332" s="135">
        <v>2</v>
      </c>
      <c r="J332" s="141" t="s">
        <v>229</v>
      </c>
      <c r="K332" s="122" t="s">
        <v>105</v>
      </c>
      <c r="L332" s="61"/>
      <c r="M332" s="7"/>
      <c r="N332" s="7"/>
      <c r="O332" s="7"/>
      <c r="P332" s="7"/>
      <c r="Q332" s="7"/>
    </row>
    <row r="333" spans="2:17" customFormat="1" hidden="1">
      <c r="B333" s="119" t="s">
        <v>962</v>
      </c>
      <c r="C333" s="122" t="s">
        <v>575</v>
      </c>
      <c r="D333" s="120" t="s">
        <v>576</v>
      </c>
      <c r="E333" s="283" t="s">
        <v>36</v>
      </c>
      <c r="F333" s="119">
        <v>722204</v>
      </c>
      <c r="G333" s="119" t="s">
        <v>197</v>
      </c>
      <c r="H333" s="133" t="s">
        <v>1347</v>
      </c>
      <c r="I333" s="135">
        <v>1</v>
      </c>
      <c r="J333" s="141" t="s">
        <v>229</v>
      </c>
      <c r="K333" s="122" t="s">
        <v>105</v>
      </c>
      <c r="L333" s="61"/>
      <c r="M333" s="7"/>
      <c r="N333" s="7"/>
      <c r="O333" s="7"/>
      <c r="P333" s="7"/>
      <c r="Q333" s="7"/>
    </row>
    <row r="334" spans="2:17" customFormat="1" hidden="1">
      <c r="B334" s="119" t="s">
        <v>963</v>
      </c>
      <c r="C334" s="122" t="s">
        <v>575</v>
      </c>
      <c r="D334" s="120" t="s">
        <v>576</v>
      </c>
      <c r="E334" s="283" t="s">
        <v>45</v>
      </c>
      <c r="F334" s="119">
        <v>522301</v>
      </c>
      <c r="G334" s="119" t="s">
        <v>200</v>
      </c>
      <c r="H334" s="119" t="s">
        <v>2394</v>
      </c>
      <c r="I334" s="135">
        <v>4</v>
      </c>
      <c r="J334" s="141" t="s">
        <v>229</v>
      </c>
      <c r="K334" s="122" t="s">
        <v>105</v>
      </c>
      <c r="L334" s="61"/>
      <c r="M334" s="7"/>
      <c r="N334" s="7"/>
      <c r="O334" s="7"/>
      <c r="P334" s="7"/>
      <c r="Q334" s="7"/>
    </row>
    <row r="335" spans="2:17" customFormat="1" hidden="1">
      <c r="B335" s="119" t="s">
        <v>964</v>
      </c>
      <c r="C335" s="122" t="s">
        <v>575</v>
      </c>
      <c r="D335" s="120" t="s">
        <v>576</v>
      </c>
      <c r="E335" s="130" t="s">
        <v>34</v>
      </c>
      <c r="F335" s="119">
        <v>723103</v>
      </c>
      <c r="G335" s="119" t="s">
        <v>201</v>
      </c>
      <c r="H335" s="133" t="s">
        <v>1347</v>
      </c>
      <c r="I335" s="135">
        <v>3</v>
      </c>
      <c r="J335" s="141" t="s">
        <v>229</v>
      </c>
      <c r="K335" s="122" t="s">
        <v>105</v>
      </c>
      <c r="L335" s="61"/>
      <c r="M335" s="7"/>
      <c r="N335" s="7"/>
      <c r="O335" s="7"/>
      <c r="P335" s="7"/>
      <c r="Q335" s="7"/>
    </row>
    <row r="336" spans="2:17" customFormat="1" hidden="1">
      <c r="B336" s="119" t="s">
        <v>965</v>
      </c>
      <c r="C336" s="122" t="s">
        <v>575</v>
      </c>
      <c r="D336" s="120" t="s">
        <v>576</v>
      </c>
      <c r="E336" s="122" t="s">
        <v>71</v>
      </c>
      <c r="F336" s="119">
        <v>713201</v>
      </c>
      <c r="G336" s="119" t="s">
        <v>209</v>
      </c>
      <c r="H336" s="220" t="s">
        <v>1349</v>
      </c>
      <c r="I336" s="135">
        <v>1</v>
      </c>
      <c r="J336" s="141" t="s">
        <v>229</v>
      </c>
      <c r="K336" s="121" t="s">
        <v>105</v>
      </c>
      <c r="L336" s="63"/>
      <c r="M336" s="7"/>
      <c r="N336" s="7"/>
      <c r="O336" s="7"/>
      <c r="P336" s="7"/>
      <c r="Q336" s="7"/>
    </row>
    <row r="337" spans="2:17" customFormat="1" hidden="1">
      <c r="B337" s="119" t="s">
        <v>966</v>
      </c>
      <c r="C337" s="122" t="s">
        <v>575</v>
      </c>
      <c r="D337" s="120" t="s">
        <v>576</v>
      </c>
      <c r="E337" s="130" t="s">
        <v>103</v>
      </c>
      <c r="F337" s="152">
        <v>722307</v>
      </c>
      <c r="G337" s="119" t="s">
        <v>244</v>
      </c>
      <c r="H337" s="152" t="s">
        <v>1348</v>
      </c>
      <c r="I337" s="135">
        <v>6</v>
      </c>
      <c r="J337" s="141" t="s">
        <v>229</v>
      </c>
      <c r="K337" s="122" t="s">
        <v>105</v>
      </c>
      <c r="L337" s="61"/>
      <c r="M337" s="7"/>
      <c r="N337" s="7"/>
      <c r="O337" s="7"/>
      <c r="P337" s="7"/>
      <c r="Q337" s="7"/>
    </row>
    <row r="338" spans="2:17" s="13" customFormat="1" hidden="1">
      <c r="B338" s="119" t="s">
        <v>967</v>
      </c>
      <c r="C338" s="156" t="s">
        <v>72</v>
      </c>
      <c r="D338" s="120" t="s">
        <v>73</v>
      </c>
      <c r="E338" s="283" t="s">
        <v>36</v>
      </c>
      <c r="F338" s="120">
        <v>514101</v>
      </c>
      <c r="G338" s="119" t="s">
        <v>197</v>
      </c>
      <c r="H338" s="295" t="s">
        <v>2260</v>
      </c>
      <c r="I338" s="137">
        <v>4</v>
      </c>
      <c r="J338" s="141" t="s">
        <v>228</v>
      </c>
      <c r="K338" s="122" t="s">
        <v>104</v>
      </c>
      <c r="L338" s="12"/>
      <c r="M338" s="14"/>
      <c r="N338" s="12"/>
      <c r="O338" s="12"/>
      <c r="P338" s="12"/>
      <c r="Q338" s="12"/>
    </row>
    <row r="339" spans="2:17" s="13" customFormat="1" hidden="1">
      <c r="B339" s="119" t="s">
        <v>968</v>
      </c>
      <c r="C339" s="138" t="s">
        <v>578</v>
      </c>
      <c r="D339" s="129" t="s">
        <v>258</v>
      </c>
      <c r="E339" s="130" t="s">
        <v>34</v>
      </c>
      <c r="F339" s="129">
        <v>723103</v>
      </c>
      <c r="G339" s="119" t="s">
        <v>201</v>
      </c>
      <c r="H339" s="129" t="s">
        <v>1413</v>
      </c>
      <c r="I339" s="139">
        <v>3</v>
      </c>
      <c r="J339" s="157" t="s">
        <v>228</v>
      </c>
      <c r="K339" s="138" t="s">
        <v>104</v>
      </c>
      <c r="L339" s="12"/>
      <c r="M339" s="14"/>
      <c r="N339" s="12"/>
      <c r="O339" s="12"/>
      <c r="P339" s="12"/>
      <c r="Q339" s="12"/>
    </row>
    <row r="340" spans="2:17" customFormat="1" hidden="1">
      <c r="B340" s="119" t="s">
        <v>969</v>
      </c>
      <c r="C340" s="122" t="s">
        <v>584</v>
      </c>
      <c r="D340" s="120" t="s">
        <v>585</v>
      </c>
      <c r="E340" s="283" t="s">
        <v>36</v>
      </c>
      <c r="F340" s="8">
        <v>722204</v>
      </c>
      <c r="G340" s="119" t="s">
        <v>197</v>
      </c>
      <c r="H340" s="119" t="s">
        <v>1337</v>
      </c>
      <c r="I340" s="135">
        <v>2</v>
      </c>
      <c r="J340" s="7" t="s">
        <v>1485</v>
      </c>
      <c r="K340" s="122" t="s">
        <v>35</v>
      </c>
      <c r="L340" s="45"/>
      <c r="M340" s="7"/>
      <c r="N340" s="7"/>
      <c r="O340" s="43"/>
      <c r="P340" s="7"/>
      <c r="Q340" s="7"/>
    </row>
    <row r="341" spans="2:17" customFormat="1" hidden="1">
      <c r="B341" s="119" t="s">
        <v>970</v>
      </c>
      <c r="C341" s="122" t="s">
        <v>584</v>
      </c>
      <c r="D341" s="120" t="s">
        <v>585</v>
      </c>
      <c r="E341" s="130" t="s">
        <v>44</v>
      </c>
      <c r="F341" s="8">
        <v>512001</v>
      </c>
      <c r="G341" s="119" t="s">
        <v>203</v>
      </c>
      <c r="H341" s="119" t="s">
        <v>1338</v>
      </c>
      <c r="I341" s="135">
        <v>1</v>
      </c>
      <c r="J341" s="7" t="s">
        <v>1485</v>
      </c>
      <c r="K341" s="122" t="s">
        <v>35</v>
      </c>
      <c r="L341" s="45"/>
      <c r="M341" s="7"/>
      <c r="N341" s="7"/>
      <c r="O341" s="43"/>
      <c r="P341" s="7"/>
      <c r="Q341" s="7"/>
    </row>
    <row r="342" spans="2:17" customFormat="1" hidden="1">
      <c r="B342" s="119" t="s">
        <v>971</v>
      </c>
      <c r="C342" s="122" t="s">
        <v>584</v>
      </c>
      <c r="D342" s="120" t="s">
        <v>585</v>
      </c>
      <c r="E342" s="130" t="s">
        <v>34</v>
      </c>
      <c r="F342" s="8">
        <v>723103</v>
      </c>
      <c r="G342" s="119" t="s">
        <v>201</v>
      </c>
      <c r="H342" s="6" t="s">
        <v>1336</v>
      </c>
      <c r="I342" s="135">
        <v>7</v>
      </c>
      <c r="J342" s="7" t="s">
        <v>1485</v>
      </c>
      <c r="K342" s="122" t="s">
        <v>35</v>
      </c>
      <c r="L342" s="45"/>
      <c r="M342" s="7"/>
      <c r="N342" s="7"/>
      <c r="O342" s="43"/>
      <c r="P342" s="7"/>
      <c r="Q342" s="7"/>
    </row>
    <row r="343" spans="2:17" customFormat="1" hidden="1">
      <c r="B343" s="119" t="s">
        <v>972</v>
      </c>
      <c r="C343" s="122" t="s">
        <v>584</v>
      </c>
      <c r="D343" s="120" t="s">
        <v>585</v>
      </c>
      <c r="E343" s="283" t="s">
        <v>45</v>
      </c>
      <c r="F343" s="8">
        <v>522301</v>
      </c>
      <c r="G343" s="119" t="s">
        <v>200</v>
      </c>
      <c r="H343" s="119" t="s">
        <v>1338</v>
      </c>
      <c r="I343" s="135">
        <v>5</v>
      </c>
      <c r="J343" s="7" t="s">
        <v>1485</v>
      </c>
      <c r="K343" s="122" t="s">
        <v>35</v>
      </c>
      <c r="L343" s="45"/>
      <c r="M343" s="7"/>
      <c r="N343" s="7"/>
      <c r="O343" s="43"/>
      <c r="P343" s="7"/>
      <c r="Q343" s="7"/>
    </row>
    <row r="344" spans="2:17" customFormat="1" hidden="1">
      <c r="B344" s="119" t="s">
        <v>973</v>
      </c>
      <c r="C344" s="122" t="s">
        <v>586</v>
      </c>
      <c r="D344" s="120" t="s">
        <v>587</v>
      </c>
      <c r="E344" s="283" t="s">
        <v>36</v>
      </c>
      <c r="F344" s="8">
        <v>722204</v>
      </c>
      <c r="G344" s="119" t="s">
        <v>197</v>
      </c>
      <c r="H344" s="119" t="s">
        <v>1337</v>
      </c>
      <c r="I344" s="135">
        <v>3</v>
      </c>
      <c r="J344" s="7" t="s">
        <v>1485</v>
      </c>
      <c r="K344" s="122" t="s">
        <v>35</v>
      </c>
      <c r="L344" s="45"/>
      <c r="M344" s="7"/>
      <c r="N344" s="7"/>
      <c r="O344" s="43"/>
      <c r="P344" s="7"/>
      <c r="Q344" s="7"/>
    </row>
    <row r="345" spans="2:17" customFormat="1" hidden="1">
      <c r="B345" s="119" t="s">
        <v>974</v>
      </c>
      <c r="C345" s="122" t="s">
        <v>586</v>
      </c>
      <c r="D345" s="120" t="s">
        <v>587</v>
      </c>
      <c r="E345" s="130" t="s">
        <v>34</v>
      </c>
      <c r="F345" s="8">
        <v>723103</v>
      </c>
      <c r="G345" s="119" t="s">
        <v>201</v>
      </c>
      <c r="H345" s="6" t="s">
        <v>1336</v>
      </c>
      <c r="I345" s="135">
        <v>1</v>
      </c>
      <c r="J345" s="7" t="s">
        <v>1485</v>
      </c>
      <c r="K345" s="122" t="s">
        <v>35</v>
      </c>
      <c r="L345" s="45"/>
      <c r="M345" s="7"/>
      <c r="N345" s="7"/>
      <c r="O345" s="43"/>
      <c r="P345" s="7"/>
      <c r="Q345" s="7"/>
    </row>
    <row r="346" spans="2:17" customFormat="1" hidden="1">
      <c r="B346" s="119" t="s">
        <v>975</v>
      </c>
      <c r="C346" s="122" t="s">
        <v>586</v>
      </c>
      <c r="D346" s="120" t="s">
        <v>587</v>
      </c>
      <c r="E346" s="283" t="s">
        <v>45</v>
      </c>
      <c r="F346" s="8">
        <v>522301</v>
      </c>
      <c r="G346" s="119" t="s">
        <v>200</v>
      </c>
      <c r="H346" s="119" t="s">
        <v>1338</v>
      </c>
      <c r="I346" s="135">
        <v>3</v>
      </c>
      <c r="J346" s="7" t="s">
        <v>1485</v>
      </c>
      <c r="K346" s="122" t="s">
        <v>35</v>
      </c>
      <c r="L346" s="45"/>
      <c r="M346" s="7"/>
      <c r="N346" s="7"/>
      <c r="O346" s="43"/>
      <c r="P346" s="7"/>
      <c r="Q346" s="7"/>
    </row>
    <row r="347" spans="2:17" customFormat="1" hidden="1">
      <c r="B347" s="119" t="s">
        <v>976</v>
      </c>
      <c r="C347" s="122" t="s">
        <v>934</v>
      </c>
      <c r="D347" s="120" t="s">
        <v>935</v>
      </c>
      <c r="E347" s="130" t="s">
        <v>34</v>
      </c>
      <c r="F347" s="120">
        <v>723103</v>
      </c>
      <c r="G347" s="120" t="s">
        <v>201</v>
      </c>
      <c r="H347" s="133" t="s">
        <v>1347</v>
      </c>
      <c r="I347" s="137">
        <v>7</v>
      </c>
      <c r="J347" s="141" t="s">
        <v>229</v>
      </c>
      <c r="K347" s="122" t="s">
        <v>105</v>
      </c>
      <c r="L347" s="10"/>
      <c r="M347" s="7"/>
      <c r="N347" s="7"/>
      <c r="O347" s="7"/>
      <c r="P347" s="7"/>
      <c r="Q347" s="7"/>
    </row>
    <row r="348" spans="2:17" customFormat="1" hidden="1">
      <c r="B348" s="119" t="s">
        <v>977</v>
      </c>
      <c r="C348" s="122" t="s">
        <v>934</v>
      </c>
      <c r="D348" s="120" t="s">
        <v>935</v>
      </c>
      <c r="E348" s="122" t="s">
        <v>71</v>
      </c>
      <c r="F348" s="120">
        <v>713201</v>
      </c>
      <c r="G348" s="120" t="s">
        <v>209</v>
      </c>
      <c r="H348" s="220" t="s">
        <v>1349</v>
      </c>
      <c r="I348" s="137">
        <v>2</v>
      </c>
      <c r="J348" s="141" t="s">
        <v>229</v>
      </c>
      <c r="K348" s="122" t="s">
        <v>105</v>
      </c>
      <c r="L348" s="10"/>
      <c r="M348" s="7"/>
      <c r="N348" s="7"/>
      <c r="O348" s="7"/>
      <c r="P348" s="7"/>
      <c r="Q348" s="7"/>
    </row>
    <row r="349" spans="2:17" customFormat="1" hidden="1">
      <c r="B349" s="119" t="s">
        <v>978</v>
      </c>
      <c r="C349" s="122" t="s">
        <v>934</v>
      </c>
      <c r="D349" s="120" t="s">
        <v>935</v>
      </c>
      <c r="E349" s="130" t="s">
        <v>33</v>
      </c>
      <c r="F349" s="120">
        <v>752205</v>
      </c>
      <c r="G349" s="120" t="s">
        <v>204</v>
      </c>
      <c r="H349" s="119" t="s">
        <v>1349</v>
      </c>
      <c r="I349" s="137">
        <v>1</v>
      </c>
      <c r="J349" s="141" t="s">
        <v>229</v>
      </c>
      <c r="K349" s="122" t="s">
        <v>105</v>
      </c>
      <c r="L349" s="10"/>
      <c r="M349" s="7"/>
      <c r="N349" s="7"/>
      <c r="O349" s="7"/>
      <c r="P349" s="7"/>
      <c r="Q349" s="7"/>
    </row>
    <row r="350" spans="2:17" customFormat="1" hidden="1">
      <c r="B350" s="119" t="s">
        <v>979</v>
      </c>
      <c r="C350" s="122" t="s">
        <v>934</v>
      </c>
      <c r="D350" s="120" t="s">
        <v>935</v>
      </c>
      <c r="E350" s="130" t="s">
        <v>44</v>
      </c>
      <c r="F350" s="120">
        <v>512001</v>
      </c>
      <c r="G350" s="120" t="s">
        <v>203</v>
      </c>
      <c r="H350" s="119" t="s">
        <v>1345</v>
      </c>
      <c r="I350" s="137">
        <v>6</v>
      </c>
      <c r="J350" s="141" t="s">
        <v>229</v>
      </c>
      <c r="K350" s="122" t="s">
        <v>105</v>
      </c>
      <c r="L350" s="10"/>
      <c r="M350" s="7"/>
      <c r="N350" s="7"/>
      <c r="O350" s="7"/>
      <c r="P350" s="7"/>
      <c r="Q350" s="7"/>
    </row>
    <row r="351" spans="2:17" customFormat="1" hidden="1">
      <c r="B351" s="119" t="s">
        <v>980</v>
      </c>
      <c r="C351" s="122" t="s">
        <v>934</v>
      </c>
      <c r="D351" s="120" t="s">
        <v>935</v>
      </c>
      <c r="E351" s="283" t="s">
        <v>45</v>
      </c>
      <c r="F351" s="120">
        <v>522301</v>
      </c>
      <c r="G351" s="120" t="s">
        <v>200</v>
      </c>
      <c r="H351" s="158" t="s">
        <v>2368</v>
      </c>
      <c r="I351" s="137">
        <v>9</v>
      </c>
      <c r="J351" s="122" t="s">
        <v>936</v>
      </c>
      <c r="K351" s="122" t="s">
        <v>938</v>
      </c>
      <c r="L351" s="10"/>
      <c r="M351" s="7"/>
      <c r="N351" s="7"/>
      <c r="O351" s="7"/>
      <c r="P351" s="7"/>
      <c r="Q351" s="7"/>
    </row>
    <row r="352" spans="2:17" ht="45" hidden="1">
      <c r="B352" s="119" t="s">
        <v>981</v>
      </c>
      <c r="C352" s="207" t="s">
        <v>1136</v>
      </c>
      <c r="D352" s="120" t="s">
        <v>252</v>
      </c>
      <c r="E352" s="283" t="s">
        <v>36</v>
      </c>
      <c r="F352" s="120">
        <v>514101</v>
      </c>
      <c r="G352" s="120" t="s">
        <v>197</v>
      </c>
      <c r="H352" s="204" t="s">
        <v>1432</v>
      </c>
      <c r="I352" s="137">
        <v>13</v>
      </c>
      <c r="J352" s="280" t="s">
        <v>116</v>
      </c>
      <c r="K352" s="207" t="s">
        <v>942</v>
      </c>
      <c r="L352" s="10"/>
      <c r="M352" s="10"/>
      <c r="N352" s="10"/>
      <c r="O352" s="10"/>
      <c r="P352" s="10"/>
      <c r="Q352" s="281"/>
    </row>
    <row r="353" spans="2:17" customFormat="1" hidden="1">
      <c r="B353" s="119" t="s">
        <v>982</v>
      </c>
      <c r="C353" s="122" t="s">
        <v>1136</v>
      </c>
      <c r="D353" s="179" t="s">
        <v>252</v>
      </c>
      <c r="E353" s="122" t="s">
        <v>55</v>
      </c>
      <c r="F353" s="8">
        <v>343101</v>
      </c>
      <c r="G353" s="120" t="s">
        <v>261</v>
      </c>
      <c r="H353" s="119" t="s">
        <v>1329</v>
      </c>
      <c r="I353" s="137">
        <v>1</v>
      </c>
      <c r="J353" s="141" t="s">
        <v>195</v>
      </c>
      <c r="K353" s="122" t="s">
        <v>41</v>
      </c>
      <c r="L353" s="45"/>
      <c r="M353" s="7"/>
      <c r="N353" s="7"/>
      <c r="O353" s="7"/>
      <c r="P353" s="7"/>
      <c r="Q353" s="7"/>
    </row>
    <row r="354" spans="2:17" customFormat="1">
      <c r="B354" s="119" t="s">
        <v>983</v>
      </c>
      <c r="C354" s="122" t="s">
        <v>1136</v>
      </c>
      <c r="D354" s="120" t="s">
        <v>252</v>
      </c>
      <c r="E354" s="130" t="s">
        <v>38</v>
      </c>
      <c r="F354" s="120">
        <v>741103</v>
      </c>
      <c r="G354" s="120" t="s">
        <v>205</v>
      </c>
      <c r="H354" s="120" t="s">
        <v>1325</v>
      </c>
      <c r="I354" s="137">
        <v>1</v>
      </c>
      <c r="J354" s="141" t="s">
        <v>61</v>
      </c>
      <c r="K354" s="122" t="s">
        <v>851</v>
      </c>
      <c r="L354" s="45"/>
      <c r="M354" s="7"/>
      <c r="N354" s="7"/>
      <c r="O354" s="7"/>
      <c r="P354" s="7"/>
      <c r="Q354" s="7"/>
    </row>
    <row r="355" spans="2:17" customFormat="1">
      <c r="B355" s="119" t="s">
        <v>984</v>
      </c>
      <c r="C355" s="122" t="s">
        <v>1136</v>
      </c>
      <c r="D355" s="120" t="s">
        <v>252</v>
      </c>
      <c r="E355" s="130" t="s">
        <v>34</v>
      </c>
      <c r="F355" s="120">
        <v>723103</v>
      </c>
      <c r="G355" s="120" t="s">
        <v>201</v>
      </c>
      <c r="H355" s="295" t="s">
        <v>1343</v>
      </c>
      <c r="I355" s="285">
        <v>1</v>
      </c>
      <c r="J355" s="279" t="s">
        <v>61</v>
      </c>
      <c r="K355" s="242" t="s">
        <v>851</v>
      </c>
      <c r="L355" s="45"/>
      <c r="M355" s="7"/>
      <c r="N355" s="7"/>
      <c r="O355" s="7"/>
      <c r="P355" s="7"/>
      <c r="Q355" s="7"/>
    </row>
    <row r="356" spans="2:17" hidden="1">
      <c r="B356" s="119" t="s">
        <v>985</v>
      </c>
      <c r="C356" s="207" t="s">
        <v>1136</v>
      </c>
      <c r="D356" s="120" t="s">
        <v>252</v>
      </c>
      <c r="E356" s="283" t="s">
        <v>57</v>
      </c>
      <c r="F356" s="120">
        <v>751204</v>
      </c>
      <c r="G356" s="120" t="s">
        <v>262</v>
      </c>
      <c r="H356" s="143" t="s">
        <v>1427</v>
      </c>
      <c r="I356" s="137">
        <v>4</v>
      </c>
      <c r="J356" s="280" t="s">
        <v>116</v>
      </c>
      <c r="K356" s="207" t="s">
        <v>942</v>
      </c>
      <c r="L356" s="10"/>
      <c r="M356" s="10"/>
      <c r="N356" s="10"/>
      <c r="O356" s="10"/>
      <c r="P356" s="10"/>
      <c r="Q356" s="281"/>
    </row>
    <row r="357" spans="2:17" customFormat="1">
      <c r="B357" s="119" t="s">
        <v>986</v>
      </c>
      <c r="C357" s="122" t="s">
        <v>1136</v>
      </c>
      <c r="D357" s="120" t="s">
        <v>252</v>
      </c>
      <c r="E357" s="130" t="s">
        <v>53</v>
      </c>
      <c r="F357" s="120">
        <v>741203</v>
      </c>
      <c r="G357" s="120" t="s">
        <v>232</v>
      </c>
      <c r="H357" s="120" t="s">
        <v>1344</v>
      </c>
      <c r="I357" s="137">
        <v>1</v>
      </c>
      <c r="J357" s="141" t="s">
        <v>61</v>
      </c>
      <c r="K357" s="122" t="s">
        <v>851</v>
      </c>
      <c r="L357" s="45"/>
      <c r="M357" s="7"/>
      <c r="N357" s="7"/>
      <c r="O357" s="7"/>
      <c r="P357" s="7"/>
      <c r="Q357" s="7"/>
    </row>
    <row r="358" spans="2:17" ht="30" hidden="1">
      <c r="B358" s="119" t="s">
        <v>987</v>
      </c>
      <c r="C358" s="207" t="s">
        <v>1136</v>
      </c>
      <c r="D358" s="120" t="s">
        <v>252</v>
      </c>
      <c r="E358" s="130" t="s">
        <v>44</v>
      </c>
      <c r="F358" s="120">
        <v>512001</v>
      </c>
      <c r="G358" s="120" t="s">
        <v>203</v>
      </c>
      <c r="H358" s="204" t="s">
        <v>1419</v>
      </c>
      <c r="I358" s="137">
        <v>9</v>
      </c>
      <c r="J358" s="280" t="s">
        <v>116</v>
      </c>
      <c r="K358" s="207" t="s">
        <v>942</v>
      </c>
      <c r="L358" s="10"/>
      <c r="M358" s="10"/>
      <c r="N358" s="10"/>
      <c r="O358" s="10"/>
      <c r="P358" s="10"/>
      <c r="Q358" s="281"/>
    </row>
    <row r="359" spans="2:17" hidden="1">
      <c r="B359" s="119" t="s">
        <v>988</v>
      </c>
      <c r="C359" s="207" t="s">
        <v>1136</v>
      </c>
      <c r="D359" s="120" t="s">
        <v>252</v>
      </c>
      <c r="E359" s="207" t="s">
        <v>37</v>
      </c>
      <c r="F359" s="120">
        <v>751201</v>
      </c>
      <c r="G359" s="120" t="s">
        <v>866</v>
      </c>
      <c r="H359" s="158" t="s">
        <v>1421</v>
      </c>
      <c r="I359" s="137">
        <v>4</v>
      </c>
      <c r="J359" s="280" t="s">
        <v>116</v>
      </c>
      <c r="K359" s="207" t="s">
        <v>942</v>
      </c>
      <c r="L359" s="10"/>
      <c r="M359" s="10"/>
      <c r="N359" s="10"/>
      <c r="O359" s="10"/>
      <c r="P359" s="10"/>
      <c r="Q359" s="281"/>
    </row>
    <row r="360" spans="2:17" hidden="1">
      <c r="B360" s="119" t="s">
        <v>989</v>
      </c>
      <c r="C360" s="207" t="s">
        <v>1136</v>
      </c>
      <c r="D360" s="120" t="s">
        <v>252</v>
      </c>
      <c r="E360" s="283" t="s">
        <v>45</v>
      </c>
      <c r="F360" s="120">
        <v>522301</v>
      </c>
      <c r="G360" s="120" t="s">
        <v>200</v>
      </c>
      <c r="H360" s="158" t="s">
        <v>1427</v>
      </c>
      <c r="I360" s="137">
        <v>4</v>
      </c>
      <c r="J360" s="280" t="s">
        <v>116</v>
      </c>
      <c r="K360" s="207" t="s">
        <v>942</v>
      </c>
      <c r="L360" s="10"/>
      <c r="M360" s="10"/>
      <c r="N360" s="10"/>
      <c r="O360" s="10"/>
      <c r="P360" s="10"/>
      <c r="Q360" s="281"/>
    </row>
    <row r="361" spans="2:17" hidden="1">
      <c r="B361" s="119" t="s">
        <v>990</v>
      </c>
      <c r="C361" s="207" t="s">
        <v>1158</v>
      </c>
      <c r="D361" s="119" t="s">
        <v>560</v>
      </c>
      <c r="E361" s="207" t="s">
        <v>278</v>
      </c>
      <c r="F361" s="120">
        <v>751201</v>
      </c>
      <c r="G361" s="120" t="s">
        <v>866</v>
      </c>
      <c r="H361" s="158" t="s">
        <v>1421</v>
      </c>
      <c r="I361" s="137">
        <v>3</v>
      </c>
      <c r="J361" s="280" t="s">
        <v>116</v>
      </c>
      <c r="K361" s="207" t="s">
        <v>942</v>
      </c>
      <c r="L361" s="10"/>
      <c r="M361" s="10"/>
      <c r="N361" s="10"/>
      <c r="O361" s="10"/>
      <c r="P361" s="10"/>
      <c r="Q361" s="281"/>
    </row>
    <row r="362" spans="2:17" hidden="1">
      <c r="B362" s="119" t="s">
        <v>991</v>
      </c>
      <c r="C362" s="207" t="s">
        <v>1158</v>
      </c>
      <c r="D362" s="119" t="s">
        <v>560</v>
      </c>
      <c r="E362" s="283" t="s">
        <v>36</v>
      </c>
      <c r="F362" s="120">
        <v>514101</v>
      </c>
      <c r="G362" s="120" t="s">
        <v>197</v>
      </c>
      <c r="H362" s="119" t="s">
        <v>1427</v>
      </c>
      <c r="I362" s="137">
        <v>7</v>
      </c>
      <c r="J362" s="280" t="s">
        <v>116</v>
      </c>
      <c r="K362" s="207" t="s">
        <v>942</v>
      </c>
      <c r="L362" s="10"/>
      <c r="M362" s="10"/>
      <c r="N362" s="10"/>
      <c r="O362" s="10"/>
      <c r="P362" s="10"/>
      <c r="Q362" s="281"/>
    </row>
    <row r="363" spans="2:17" hidden="1">
      <c r="B363" s="119" t="s">
        <v>992</v>
      </c>
      <c r="C363" s="207" t="s">
        <v>1158</v>
      </c>
      <c r="D363" s="119" t="s">
        <v>560</v>
      </c>
      <c r="E363" s="130" t="s">
        <v>44</v>
      </c>
      <c r="F363" s="120">
        <v>512001</v>
      </c>
      <c r="G363" s="120" t="s">
        <v>203</v>
      </c>
      <c r="H363" s="143" t="s">
        <v>1421</v>
      </c>
      <c r="I363" s="137">
        <v>5</v>
      </c>
      <c r="J363" s="280" t="s">
        <v>116</v>
      </c>
      <c r="K363" s="207" t="s">
        <v>942</v>
      </c>
      <c r="L363" s="10"/>
      <c r="M363" s="10"/>
      <c r="N363" s="10"/>
      <c r="O363" s="10"/>
      <c r="P363" s="10"/>
      <c r="Q363" s="281"/>
    </row>
    <row r="364" spans="2:17" ht="30" hidden="1">
      <c r="B364" s="119" t="s">
        <v>993</v>
      </c>
      <c r="C364" s="207" t="s">
        <v>1158</v>
      </c>
      <c r="D364" s="119" t="s">
        <v>560</v>
      </c>
      <c r="E364" s="283" t="s">
        <v>45</v>
      </c>
      <c r="F364" s="120">
        <v>522301</v>
      </c>
      <c r="G364" s="120" t="s">
        <v>200</v>
      </c>
      <c r="H364" s="204" t="s">
        <v>2343</v>
      </c>
      <c r="I364" s="137">
        <v>4</v>
      </c>
      <c r="J364" s="280" t="s">
        <v>116</v>
      </c>
      <c r="K364" s="207" t="s">
        <v>942</v>
      </c>
      <c r="L364" s="10"/>
      <c r="M364" s="10"/>
      <c r="N364" s="10"/>
      <c r="O364" s="10"/>
      <c r="P364" s="10"/>
      <c r="Q364" s="281"/>
    </row>
    <row r="365" spans="2:17" customFormat="1">
      <c r="B365" s="119" t="s">
        <v>994</v>
      </c>
      <c r="C365" s="122" t="s">
        <v>1158</v>
      </c>
      <c r="D365" s="119" t="s">
        <v>560</v>
      </c>
      <c r="E365" s="130" t="s">
        <v>34</v>
      </c>
      <c r="F365" s="120">
        <v>723103</v>
      </c>
      <c r="G365" s="120" t="s">
        <v>201</v>
      </c>
      <c r="H365" s="444" t="s">
        <v>2394</v>
      </c>
      <c r="I365" s="137">
        <v>1</v>
      </c>
      <c r="J365" s="141" t="s">
        <v>61</v>
      </c>
      <c r="K365" s="221" t="s">
        <v>851</v>
      </c>
      <c r="L365" s="45"/>
      <c r="M365" s="7"/>
      <c r="N365" s="7"/>
      <c r="O365" s="7"/>
      <c r="P365" s="7"/>
      <c r="Q365" s="7"/>
    </row>
    <row r="366" spans="2:17" customFormat="1">
      <c r="B366" s="119" t="s">
        <v>995</v>
      </c>
      <c r="C366" s="138" t="s">
        <v>1158</v>
      </c>
      <c r="D366" s="119" t="s">
        <v>560</v>
      </c>
      <c r="E366" s="130" t="s">
        <v>53</v>
      </c>
      <c r="F366" s="129">
        <v>741203</v>
      </c>
      <c r="G366" s="129" t="s">
        <v>232</v>
      </c>
      <c r="H366" s="119" t="s">
        <v>1343</v>
      </c>
      <c r="I366" s="139">
        <v>1</v>
      </c>
      <c r="J366" s="141" t="s">
        <v>61</v>
      </c>
      <c r="K366" s="221" t="s">
        <v>851</v>
      </c>
      <c r="L366" s="118"/>
      <c r="M366" s="117"/>
      <c r="N366" s="117"/>
      <c r="O366" s="117"/>
      <c r="P366" s="117"/>
      <c r="Q366" s="7"/>
    </row>
    <row r="367" spans="2:17" customFormat="1" hidden="1">
      <c r="B367" s="119" t="s">
        <v>996</v>
      </c>
      <c r="C367" s="138" t="s">
        <v>1158</v>
      </c>
      <c r="D367" s="119" t="s">
        <v>560</v>
      </c>
      <c r="E367" s="130" t="s">
        <v>38</v>
      </c>
      <c r="F367" s="120">
        <v>741103</v>
      </c>
      <c r="G367" s="120" t="s">
        <v>205</v>
      </c>
      <c r="H367" s="295" t="s">
        <v>1345</v>
      </c>
      <c r="I367" s="139">
        <v>5</v>
      </c>
      <c r="J367" s="243" t="s">
        <v>2349</v>
      </c>
      <c r="K367" s="357" t="s">
        <v>944</v>
      </c>
      <c r="L367" s="118"/>
      <c r="M367" s="117"/>
      <c r="N367" s="117"/>
      <c r="O367" s="117"/>
      <c r="P367" s="117"/>
      <c r="Q367" s="273"/>
    </row>
    <row r="368" spans="2:17" customFormat="1" hidden="1">
      <c r="B368" s="119" t="s">
        <v>997</v>
      </c>
      <c r="C368" s="138" t="s">
        <v>1158</v>
      </c>
      <c r="D368" s="119" t="s">
        <v>560</v>
      </c>
      <c r="E368" s="221" t="s">
        <v>55</v>
      </c>
      <c r="F368" s="219">
        <v>343101</v>
      </c>
      <c r="G368" s="120" t="s">
        <v>261</v>
      </c>
      <c r="H368" s="276" t="s">
        <v>1324</v>
      </c>
      <c r="I368" s="139">
        <v>2</v>
      </c>
      <c r="J368" s="141" t="s">
        <v>195</v>
      </c>
      <c r="K368" s="359" t="s">
        <v>41</v>
      </c>
      <c r="L368" s="118"/>
      <c r="M368" s="117"/>
      <c r="N368" s="117"/>
      <c r="O368" s="117"/>
      <c r="P368" s="117"/>
      <c r="Q368" s="273"/>
    </row>
    <row r="369" spans="2:17" customFormat="1" hidden="1">
      <c r="B369" s="119" t="s">
        <v>998</v>
      </c>
      <c r="C369" s="221" t="s">
        <v>1164</v>
      </c>
      <c r="D369" s="120" t="s">
        <v>1165</v>
      </c>
      <c r="E369" s="130" t="s">
        <v>52</v>
      </c>
      <c r="F369" s="120">
        <v>721306</v>
      </c>
      <c r="G369" s="120" t="s">
        <v>569</v>
      </c>
      <c r="H369" s="120" t="s">
        <v>1349</v>
      </c>
      <c r="I369" s="137">
        <v>1</v>
      </c>
      <c r="J369" s="141" t="s">
        <v>229</v>
      </c>
      <c r="K369" s="221" t="s">
        <v>105</v>
      </c>
      <c r="L369" s="118"/>
      <c r="M369" s="117"/>
      <c r="N369" s="117"/>
      <c r="O369" s="117"/>
      <c r="P369" s="117"/>
      <c r="Q369" s="7"/>
    </row>
    <row r="370" spans="2:17" customFormat="1" hidden="1">
      <c r="B370" s="119" t="s">
        <v>999</v>
      </c>
      <c r="C370" s="221" t="s">
        <v>1164</v>
      </c>
      <c r="D370" s="120" t="s">
        <v>1165</v>
      </c>
      <c r="E370" s="221" t="s">
        <v>144</v>
      </c>
      <c r="F370" s="120">
        <v>712618</v>
      </c>
      <c r="G370" s="120" t="s">
        <v>199</v>
      </c>
      <c r="H370" s="120" t="s">
        <v>1343</v>
      </c>
      <c r="I370" s="137">
        <v>1</v>
      </c>
      <c r="J370" s="141" t="s">
        <v>229</v>
      </c>
      <c r="K370" s="221" t="s">
        <v>105</v>
      </c>
      <c r="L370" s="118"/>
      <c r="M370" s="117"/>
      <c r="N370" s="117"/>
      <c r="O370" s="117"/>
      <c r="P370" s="117"/>
      <c r="Q370" s="7"/>
    </row>
    <row r="371" spans="2:17" customFormat="1" hidden="1">
      <c r="B371" s="119" t="s">
        <v>1000</v>
      </c>
      <c r="C371" s="221" t="s">
        <v>1164</v>
      </c>
      <c r="D371" s="120" t="s">
        <v>1165</v>
      </c>
      <c r="E371" s="130" t="s">
        <v>39</v>
      </c>
      <c r="F371" s="120">
        <v>711204</v>
      </c>
      <c r="G371" s="120" t="s">
        <v>196</v>
      </c>
      <c r="H371" s="119" t="s">
        <v>2394</v>
      </c>
      <c r="I371" s="137">
        <v>3</v>
      </c>
      <c r="J371" s="141" t="s">
        <v>229</v>
      </c>
      <c r="K371" s="221" t="s">
        <v>105</v>
      </c>
      <c r="L371" s="118"/>
      <c r="M371" s="117"/>
      <c r="N371" s="117"/>
      <c r="O371" s="117"/>
      <c r="P371" s="117"/>
      <c r="Q371" s="7"/>
    </row>
    <row r="372" spans="2:17" customFormat="1" hidden="1">
      <c r="B372" s="119" t="s">
        <v>1001</v>
      </c>
      <c r="C372" s="221" t="s">
        <v>1164</v>
      </c>
      <c r="D372" s="120" t="s">
        <v>1165</v>
      </c>
      <c r="E372" s="130" t="s">
        <v>33</v>
      </c>
      <c r="F372" s="129">
        <v>752205</v>
      </c>
      <c r="G372" s="129" t="s">
        <v>204</v>
      </c>
      <c r="H372" s="119" t="s">
        <v>1349</v>
      </c>
      <c r="I372" s="139">
        <v>1</v>
      </c>
      <c r="J372" s="141" t="s">
        <v>229</v>
      </c>
      <c r="K372" s="221" t="s">
        <v>105</v>
      </c>
      <c r="L372" s="118"/>
      <c r="M372" s="117"/>
      <c r="N372" s="117"/>
      <c r="O372" s="117"/>
      <c r="P372" s="117"/>
      <c r="Q372" s="7"/>
    </row>
    <row r="373" spans="2:17" customFormat="1">
      <c r="B373" s="119" t="s">
        <v>1002</v>
      </c>
      <c r="C373" s="221" t="s">
        <v>1164</v>
      </c>
      <c r="D373" s="120" t="s">
        <v>1165</v>
      </c>
      <c r="E373" s="284" t="s">
        <v>46</v>
      </c>
      <c r="F373" s="295">
        <v>741201</v>
      </c>
      <c r="G373" s="295" t="s">
        <v>90</v>
      </c>
      <c r="H373" s="444" t="s">
        <v>1348</v>
      </c>
      <c r="I373" s="285">
        <v>8</v>
      </c>
      <c r="J373" s="141" t="s">
        <v>61</v>
      </c>
      <c r="K373" s="221" t="s">
        <v>851</v>
      </c>
      <c r="L373" s="118"/>
      <c r="M373" s="117"/>
      <c r="N373" s="117"/>
      <c r="O373" s="117"/>
      <c r="P373" s="117"/>
      <c r="Q373" s="7"/>
    </row>
    <row r="374" spans="2:17" customFormat="1" hidden="1">
      <c r="B374" s="119" t="s">
        <v>1003</v>
      </c>
      <c r="C374" s="221" t="s">
        <v>1164</v>
      </c>
      <c r="D374" s="120" t="s">
        <v>1165</v>
      </c>
      <c r="E374" s="162" t="s">
        <v>103</v>
      </c>
      <c r="F374" s="289">
        <v>722307</v>
      </c>
      <c r="G374" s="289" t="s">
        <v>244</v>
      </c>
      <c r="H374" s="296" t="s">
        <v>1348</v>
      </c>
      <c r="I374" s="386">
        <v>1</v>
      </c>
      <c r="J374" s="141" t="s">
        <v>229</v>
      </c>
      <c r="K374" s="221" t="s">
        <v>105</v>
      </c>
      <c r="L374" s="118"/>
      <c r="M374" s="117"/>
      <c r="N374" s="117"/>
      <c r="O374" s="117"/>
      <c r="P374" s="117"/>
      <c r="Q374" s="7"/>
    </row>
    <row r="375" spans="2:17" customFormat="1" hidden="1">
      <c r="B375" s="119" t="s">
        <v>1004</v>
      </c>
      <c r="C375" s="221" t="s">
        <v>1164</v>
      </c>
      <c r="D375" s="120" t="s">
        <v>1165</v>
      </c>
      <c r="E375" s="130" t="s">
        <v>206</v>
      </c>
      <c r="F375" s="129">
        <v>722204</v>
      </c>
      <c r="G375" s="129" t="s">
        <v>207</v>
      </c>
      <c r="H375" s="119" t="s">
        <v>1345</v>
      </c>
      <c r="I375" s="139">
        <v>4</v>
      </c>
      <c r="J375" s="141" t="s">
        <v>229</v>
      </c>
      <c r="K375" s="221" t="s">
        <v>105</v>
      </c>
      <c r="L375" s="118"/>
      <c r="M375" s="117"/>
      <c r="N375" s="117"/>
      <c r="O375" s="117"/>
      <c r="P375" s="117"/>
      <c r="Q375" s="7"/>
    </row>
    <row r="376" spans="2:17" hidden="1">
      <c r="B376" s="119" t="s">
        <v>1005</v>
      </c>
      <c r="C376" s="207" t="s">
        <v>1164</v>
      </c>
      <c r="D376" s="120" t="s">
        <v>1165</v>
      </c>
      <c r="E376" s="283" t="s">
        <v>36</v>
      </c>
      <c r="F376" s="120">
        <v>514101</v>
      </c>
      <c r="G376" s="120" t="s">
        <v>197</v>
      </c>
      <c r="H376" s="143" t="s">
        <v>1421</v>
      </c>
      <c r="I376" s="137">
        <v>6</v>
      </c>
      <c r="J376" s="280" t="s">
        <v>116</v>
      </c>
      <c r="K376" s="207" t="s">
        <v>942</v>
      </c>
      <c r="L376" s="10"/>
      <c r="M376" s="10"/>
      <c r="N376" s="10"/>
      <c r="O376" s="10"/>
      <c r="P376" s="10"/>
      <c r="Q376" s="281"/>
    </row>
    <row r="377" spans="2:17" hidden="1">
      <c r="B377" s="119" t="s">
        <v>1006</v>
      </c>
      <c r="C377" s="207" t="s">
        <v>1164</v>
      </c>
      <c r="D377" s="120" t="s">
        <v>1165</v>
      </c>
      <c r="E377" s="130" t="s">
        <v>44</v>
      </c>
      <c r="F377" s="120">
        <v>512001</v>
      </c>
      <c r="G377" s="120" t="s">
        <v>203</v>
      </c>
      <c r="H377" s="143" t="s">
        <v>1421</v>
      </c>
      <c r="I377" s="137">
        <v>3</v>
      </c>
      <c r="J377" s="280" t="s">
        <v>116</v>
      </c>
      <c r="K377" s="207" t="s">
        <v>942</v>
      </c>
      <c r="L377" s="10"/>
      <c r="M377" s="10"/>
      <c r="N377" s="10"/>
      <c r="O377" s="10"/>
      <c r="P377" s="10"/>
      <c r="Q377" s="281"/>
    </row>
    <row r="378" spans="2:17" hidden="1">
      <c r="B378" s="119" t="s">
        <v>1007</v>
      </c>
      <c r="C378" s="207" t="s">
        <v>1164</v>
      </c>
      <c r="D378" s="120" t="s">
        <v>1165</v>
      </c>
      <c r="E378" s="283" t="s">
        <v>57</v>
      </c>
      <c r="F378" s="120">
        <v>751204</v>
      </c>
      <c r="G378" s="120" t="s">
        <v>262</v>
      </c>
      <c r="H378" s="158"/>
      <c r="I378" s="317">
        <v>0</v>
      </c>
      <c r="J378" s="280" t="s">
        <v>116</v>
      </c>
      <c r="K378" s="207"/>
      <c r="L378" s="10"/>
      <c r="M378" s="10"/>
      <c r="N378" s="10"/>
      <c r="O378" s="10"/>
      <c r="P378" s="10"/>
      <c r="Q378" s="281"/>
    </row>
    <row r="379" spans="2:17" ht="30" hidden="1">
      <c r="B379" s="119" t="s">
        <v>1008</v>
      </c>
      <c r="C379" s="207" t="s">
        <v>1164</v>
      </c>
      <c r="D379" s="120" t="s">
        <v>1165</v>
      </c>
      <c r="E379" s="283" t="s">
        <v>45</v>
      </c>
      <c r="F379" s="120">
        <v>522301</v>
      </c>
      <c r="G379" s="120" t="s">
        <v>200</v>
      </c>
      <c r="H379" s="204" t="s">
        <v>2288</v>
      </c>
      <c r="I379" s="137">
        <v>5</v>
      </c>
      <c r="J379" s="280" t="s">
        <v>116</v>
      </c>
      <c r="K379" s="207" t="s">
        <v>942</v>
      </c>
      <c r="L379" s="10"/>
      <c r="M379" s="10"/>
      <c r="N379" s="10"/>
      <c r="O379" s="10"/>
      <c r="P379" s="10"/>
      <c r="Q379" s="281"/>
    </row>
    <row r="380" spans="2:17" customFormat="1" hidden="1">
      <c r="B380" s="119" t="s">
        <v>1009</v>
      </c>
      <c r="C380" s="122" t="s">
        <v>1352</v>
      </c>
      <c r="D380" s="120" t="s">
        <v>1353</v>
      </c>
      <c r="E380" s="122" t="s">
        <v>103</v>
      </c>
      <c r="F380" s="120">
        <v>722307</v>
      </c>
      <c r="G380" s="120" t="s">
        <v>244</v>
      </c>
      <c r="H380" s="66" t="s">
        <v>1348</v>
      </c>
      <c r="I380" s="137">
        <v>3</v>
      </c>
      <c r="J380" s="141" t="s">
        <v>229</v>
      </c>
      <c r="K380" s="122" t="s">
        <v>105</v>
      </c>
      <c r="L380" s="1"/>
    </row>
    <row r="381" spans="2:17" customFormat="1" hidden="1">
      <c r="B381" s="119" t="s">
        <v>1010</v>
      </c>
      <c r="C381" s="122" t="s">
        <v>1352</v>
      </c>
      <c r="D381" s="120" t="s">
        <v>1353</v>
      </c>
      <c r="E381" s="122" t="s">
        <v>57</v>
      </c>
      <c r="F381" s="120">
        <v>751204</v>
      </c>
      <c r="G381" s="120" t="s">
        <v>262</v>
      </c>
      <c r="H381" s="119" t="s">
        <v>1345</v>
      </c>
      <c r="I381" s="137">
        <v>1</v>
      </c>
      <c r="J381" s="141" t="s">
        <v>229</v>
      </c>
      <c r="K381" s="122" t="s">
        <v>105</v>
      </c>
      <c r="L381" s="1"/>
    </row>
    <row r="382" spans="2:17" customFormat="1" hidden="1">
      <c r="B382" s="119" t="s">
        <v>1011</v>
      </c>
      <c r="C382" s="122" t="s">
        <v>1352</v>
      </c>
      <c r="D382" s="120" t="s">
        <v>1353</v>
      </c>
      <c r="E382" s="122" t="s">
        <v>206</v>
      </c>
      <c r="F382" s="120">
        <v>722204</v>
      </c>
      <c r="G382" s="120" t="s">
        <v>207</v>
      </c>
      <c r="H382" s="66" t="s">
        <v>1345</v>
      </c>
      <c r="I382" s="137">
        <v>4</v>
      </c>
      <c r="J382" s="141" t="s">
        <v>229</v>
      </c>
      <c r="K382" s="122" t="s">
        <v>105</v>
      </c>
      <c r="L382" s="1"/>
    </row>
    <row r="383" spans="2:17" customFormat="1" hidden="1">
      <c r="B383" s="119" t="s">
        <v>1012</v>
      </c>
      <c r="C383" s="122" t="s">
        <v>1352</v>
      </c>
      <c r="D383" s="120" t="s">
        <v>1353</v>
      </c>
      <c r="E383" s="122" t="s">
        <v>52</v>
      </c>
      <c r="F383" s="120">
        <v>721306</v>
      </c>
      <c r="G383" s="120" t="s">
        <v>569</v>
      </c>
      <c r="H383" s="66" t="s">
        <v>1349</v>
      </c>
      <c r="I383" s="137">
        <v>1</v>
      </c>
      <c r="J383" s="141" t="s">
        <v>229</v>
      </c>
      <c r="K383" s="122" t="s">
        <v>105</v>
      </c>
      <c r="L383" s="1"/>
    </row>
    <row r="384" spans="2:17" customFormat="1" hidden="1">
      <c r="B384" s="119" t="s">
        <v>1013</v>
      </c>
      <c r="C384" s="122" t="s">
        <v>1352</v>
      </c>
      <c r="D384" s="120" t="s">
        <v>1353</v>
      </c>
      <c r="E384" s="122" t="s">
        <v>144</v>
      </c>
      <c r="F384" s="120">
        <v>712618</v>
      </c>
      <c r="G384" s="120" t="s">
        <v>199</v>
      </c>
      <c r="H384" s="66" t="s">
        <v>1343</v>
      </c>
      <c r="I384" s="137">
        <v>4</v>
      </c>
      <c r="J384" s="141" t="s">
        <v>229</v>
      </c>
      <c r="K384" s="122" t="s">
        <v>105</v>
      </c>
      <c r="L384" s="1"/>
    </row>
    <row r="385" spans="2:12" customFormat="1" hidden="1">
      <c r="B385" s="119" t="s">
        <v>1014</v>
      </c>
      <c r="C385" s="122" t="s">
        <v>1352</v>
      </c>
      <c r="D385" s="120" t="s">
        <v>1353</v>
      </c>
      <c r="E385" s="122" t="s">
        <v>39</v>
      </c>
      <c r="F385" s="120">
        <v>711204</v>
      </c>
      <c r="G385" s="120" t="s">
        <v>196</v>
      </c>
      <c r="H385" s="119" t="s">
        <v>2394</v>
      </c>
      <c r="I385" s="317">
        <v>0</v>
      </c>
      <c r="J385" s="141" t="s">
        <v>229</v>
      </c>
      <c r="K385" s="221" t="s">
        <v>105</v>
      </c>
      <c r="L385" s="1"/>
    </row>
    <row r="386" spans="2:12" customFormat="1" hidden="1">
      <c r="B386" s="119" t="s">
        <v>1015</v>
      </c>
      <c r="C386" s="122" t="s">
        <v>2405</v>
      </c>
      <c r="D386" s="120" t="s">
        <v>254</v>
      </c>
      <c r="E386" s="122" t="s">
        <v>103</v>
      </c>
      <c r="F386" s="120">
        <v>722307</v>
      </c>
      <c r="G386" s="120" t="s">
        <v>244</v>
      </c>
      <c r="H386" s="66" t="s">
        <v>1348</v>
      </c>
      <c r="I386" s="137">
        <v>8</v>
      </c>
      <c r="J386" s="141" t="s">
        <v>229</v>
      </c>
      <c r="K386" s="122" t="s">
        <v>105</v>
      </c>
      <c r="L386" s="1"/>
    </row>
    <row r="387" spans="2:12" customFormat="1" hidden="1">
      <c r="B387" s="119" t="s">
        <v>1016</v>
      </c>
      <c r="C387" s="221" t="s">
        <v>1468</v>
      </c>
      <c r="D387" s="219" t="s">
        <v>1256</v>
      </c>
      <c r="E387" s="221" t="s">
        <v>103</v>
      </c>
      <c r="F387" s="120">
        <v>722307</v>
      </c>
      <c r="G387" s="341" t="s">
        <v>244</v>
      </c>
      <c r="H387" s="295" t="s">
        <v>1344</v>
      </c>
      <c r="I387" s="137">
        <v>11</v>
      </c>
      <c r="J387" s="141" t="s">
        <v>229</v>
      </c>
      <c r="K387" s="221" t="s">
        <v>105</v>
      </c>
      <c r="L387" s="1"/>
    </row>
    <row r="388" spans="2:12" customFormat="1" hidden="1">
      <c r="B388" s="119" t="s">
        <v>1017</v>
      </c>
      <c r="C388" s="221" t="s">
        <v>1468</v>
      </c>
      <c r="D388" s="219" t="s">
        <v>1256</v>
      </c>
      <c r="E388" s="283" t="s">
        <v>36</v>
      </c>
      <c r="F388" s="120">
        <v>514101</v>
      </c>
      <c r="G388" s="341" t="s">
        <v>197</v>
      </c>
      <c r="H388" s="297" t="s">
        <v>1347</v>
      </c>
      <c r="I388" s="137">
        <v>1</v>
      </c>
      <c r="J388" s="141" t="s">
        <v>229</v>
      </c>
      <c r="K388" s="221" t="s">
        <v>105</v>
      </c>
      <c r="L388" s="1"/>
    </row>
    <row r="389" spans="2:12" customFormat="1" hidden="1">
      <c r="B389" s="119" t="s">
        <v>1018</v>
      </c>
      <c r="C389" s="221" t="s">
        <v>1468</v>
      </c>
      <c r="D389" s="219" t="s">
        <v>1256</v>
      </c>
      <c r="E389" s="130" t="s">
        <v>44</v>
      </c>
      <c r="F389" s="120">
        <v>512001</v>
      </c>
      <c r="G389" s="341" t="s">
        <v>203</v>
      </c>
      <c r="H389" s="295" t="s">
        <v>1345</v>
      </c>
      <c r="I389" s="137">
        <v>1</v>
      </c>
      <c r="J389" s="141" t="s">
        <v>229</v>
      </c>
      <c r="K389" s="221" t="s">
        <v>105</v>
      </c>
      <c r="L389" s="1"/>
    </row>
    <row r="390" spans="2:12" customFormat="1" hidden="1">
      <c r="B390" s="119" t="s">
        <v>1019</v>
      </c>
      <c r="C390" s="221" t="s">
        <v>1468</v>
      </c>
      <c r="D390" s="219" t="s">
        <v>1256</v>
      </c>
      <c r="E390" s="221" t="s">
        <v>206</v>
      </c>
      <c r="F390" s="120">
        <v>722204</v>
      </c>
      <c r="G390" s="120" t="s">
        <v>207</v>
      </c>
      <c r="H390" s="295" t="s">
        <v>1345</v>
      </c>
      <c r="I390" s="137">
        <v>1</v>
      </c>
      <c r="J390" s="141" t="s">
        <v>229</v>
      </c>
      <c r="K390" s="221" t="s">
        <v>105</v>
      </c>
      <c r="L390" s="1"/>
    </row>
    <row r="391" spans="2:12" customFormat="1" hidden="1">
      <c r="B391" s="119" t="s">
        <v>1020</v>
      </c>
      <c r="C391" s="221" t="s">
        <v>1511</v>
      </c>
      <c r="D391" s="219" t="s">
        <v>140</v>
      </c>
      <c r="E391" s="283" t="s">
        <v>36</v>
      </c>
      <c r="F391" s="120">
        <v>514101</v>
      </c>
      <c r="G391" s="155" t="s">
        <v>197</v>
      </c>
      <c r="H391" s="288" t="s">
        <v>1345</v>
      </c>
      <c r="I391" s="137">
        <v>2</v>
      </c>
      <c r="J391" s="238" t="s">
        <v>1512</v>
      </c>
      <c r="K391" s="7" t="s">
        <v>1514</v>
      </c>
      <c r="L391" s="1"/>
    </row>
    <row r="392" spans="2:12" customFormat="1" hidden="1">
      <c r="B392" s="119" t="s">
        <v>1021</v>
      </c>
      <c r="C392" s="221" t="s">
        <v>1511</v>
      </c>
      <c r="D392" s="219" t="s">
        <v>140</v>
      </c>
      <c r="E392" s="130" t="s">
        <v>44</v>
      </c>
      <c r="F392" s="46">
        <v>512001</v>
      </c>
      <c r="G392" s="46" t="s">
        <v>203</v>
      </c>
      <c r="H392" s="288" t="s">
        <v>1345</v>
      </c>
      <c r="I392" s="46">
        <v>1</v>
      </c>
      <c r="J392" s="238" t="s">
        <v>1512</v>
      </c>
      <c r="K392" s="7" t="s">
        <v>1514</v>
      </c>
      <c r="L392" s="1"/>
    </row>
    <row r="393" spans="2:12" customFormat="1" hidden="1">
      <c r="B393" s="119" t="s">
        <v>1022</v>
      </c>
      <c r="C393" s="221" t="s">
        <v>1511</v>
      </c>
      <c r="D393" s="219" t="s">
        <v>140</v>
      </c>
      <c r="E393" s="7" t="s">
        <v>85</v>
      </c>
      <c r="F393" s="46">
        <v>721306</v>
      </c>
      <c r="G393" s="46" t="s">
        <v>569</v>
      </c>
      <c r="H393" s="288" t="s">
        <v>1345</v>
      </c>
      <c r="I393" s="46">
        <v>1</v>
      </c>
      <c r="J393" s="238" t="s">
        <v>1512</v>
      </c>
      <c r="K393" s="7" t="s">
        <v>1514</v>
      </c>
      <c r="L393" s="1"/>
    </row>
    <row r="394" spans="2:12" hidden="1">
      <c r="B394" s="119" t="s">
        <v>1023</v>
      </c>
      <c r="C394" s="389" t="s">
        <v>2366</v>
      </c>
      <c r="D394" s="387" t="s">
        <v>2327</v>
      </c>
      <c r="E394" s="284" t="s">
        <v>38</v>
      </c>
      <c r="F394" s="295">
        <v>741103</v>
      </c>
      <c r="G394" s="295" t="s">
        <v>205</v>
      </c>
      <c r="H394" s="295" t="s">
        <v>1409</v>
      </c>
      <c r="I394" s="285">
        <v>2</v>
      </c>
      <c r="J394" s="284" t="s">
        <v>141</v>
      </c>
      <c r="K394" s="284" t="s">
        <v>943</v>
      </c>
    </row>
    <row r="395" spans="2:12" hidden="1">
      <c r="B395" s="119" t="s">
        <v>1024</v>
      </c>
      <c r="C395" s="389" t="s">
        <v>2366</v>
      </c>
      <c r="D395" s="387" t="s">
        <v>2327</v>
      </c>
      <c r="E395" s="284" t="s">
        <v>44</v>
      </c>
      <c r="F395" s="295">
        <v>512001</v>
      </c>
      <c r="G395" s="295" t="s">
        <v>203</v>
      </c>
      <c r="H395" s="295" t="s">
        <v>1434</v>
      </c>
      <c r="I395" s="285">
        <v>4</v>
      </c>
      <c r="J395" s="284" t="s">
        <v>141</v>
      </c>
      <c r="K395" s="284" t="s">
        <v>943</v>
      </c>
    </row>
    <row r="396" spans="2:12" hidden="1">
      <c r="B396" s="119" t="s">
        <v>1025</v>
      </c>
      <c r="C396" s="389" t="s">
        <v>2366</v>
      </c>
      <c r="D396" s="387" t="s">
        <v>2327</v>
      </c>
      <c r="E396" s="321" t="s">
        <v>45</v>
      </c>
      <c r="F396" s="295">
        <v>522301</v>
      </c>
      <c r="G396" s="295" t="s">
        <v>200</v>
      </c>
      <c r="H396" s="295" t="s">
        <v>1434</v>
      </c>
      <c r="I396" s="285">
        <v>6</v>
      </c>
      <c r="J396" s="284" t="s">
        <v>141</v>
      </c>
      <c r="K396" s="284" t="s">
        <v>943</v>
      </c>
    </row>
    <row r="397" spans="2:12" hidden="1">
      <c r="B397" s="119" t="s">
        <v>1026</v>
      </c>
      <c r="C397" s="389" t="s">
        <v>2366</v>
      </c>
      <c r="D397" s="387" t="s">
        <v>2327</v>
      </c>
      <c r="E397" s="284" t="s">
        <v>58</v>
      </c>
      <c r="F397" s="295">
        <v>753402</v>
      </c>
      <c r="G397" s="295" t="s">
        <v>570</v>
      </c>
      <c r="H397" s="119" t="s">
        <v>2415</v>
      </c>
      <c r="I397" s="285">
        <v>1</v>
      </c>
      <c r="J397" s="284" t="s">
        <v>141</v>
      </c>
      <c r="K397" s="284" t="s">
        <v>943</v>
      </c>
    </row>
    <row r="398" spans="2:12" hidden="1">
      <c r="B398" s="119" t="s">
        <v>1027</v>
      </c>
      <c r="C398" s="389" t="s">
        <v>1352</v>
      </c>
      <c r="D398" s="387" t="s">
        <v>1353</v>
      </c>
      <c r="E398" s="284" t="s">
        <v>44</v>
      </c>
      <c r="F398" s="295">
        <v>512001</v>
      </c>
      <c r="G398" s="295" t="s">
        <v>203</v>
      </c>
      <c r="H398" s="295" t="s">
        <v>1434</v>
      </c>
      <c r="I398" s="285">
        <v>1</v>
      </c>
      <c r="J398" s="284" t="s">
        <v>141</v>
      </c>
      <c r="K398" s="284" t="s">
        <v>943</v>
      </c>
    </row>
    <row r="399" spans="2:12" hidden="1">
      <c r="B399" s="119" t="s">
        <v>1028</v>
      </c>
      <c r="C399" s="389" t="s">
        <v>2367</v>
      </c>
      <c r="D399" s="387" t="s">
        <v>2363</v>
      </c>
      <c r="E399" s="321" t="s">
        <v>45</v>
      </c>
      <c r="F399" s="295">
        <v>522301</v>
      </c>
      <c r="G399" s="295" t="s">
        <v>200</v>
      </c>
      <c r="H399" s="295" t="s">
        <v>1434</v>
      </c>
      <c r="I399" s="285">
        <v>1</v>
      </c>
      <c r="J399" s="284" t="s">
        <v>141</v>
      </c>
      <c r="K399" s="284" t="s">
        <v>943</v>
      </c>
    </row>
    <row r="400" spans="2:12" hidden="1">
      <c r="B400" s="119" t="s">
        <v>1029</v>
      </c>
      <c r="C400" s="389" t="s">
        <v>2367</v>
      </c>
      <c r="D400" s="295" t="s">
        <v>2363</v>
      </c>
      <c r="E400" s="284" t="s">
        <v>58</v>
      </c>
      <c r="F400" s="295">
        <v>753402</v>
      </c>
      <c r="G400" s="295" t="s">
        <v>570</v>
      </c>
      <c r="H400" s="119" t="s">
        <v>2415</v>
      </c>
      <c r="I400" s="285">
        <v>1</v>
      </c>
      <c r="J400" s="284" t="s">
        <v>141</v>
      </c>
      <c r="K400" s="284" t="s">
        <v>943</v>
      </c>
    </row>
    <row r="401" spans="2:11" hidden="1">
      <c r="B401" s="119" t="s">
        <v>1030</v>
      </c>
      <c r="C401" s="284" t="s">
        <v>2374</v>
      </c>
      <c r="D401" s="391" t="s">
        <v>2194</v>
      </c>
      <c r="E401" s="389" t="s">
        <v>33</v>
      </c>
      <c r="F401" s="295">
        <v>752205</v>
      </c>
      <c r="G401" s="295" t="s">
        <v>204</v>
      </c>
      <c r="H401" s="387" t="s">
        <v>1420</v>
      </c>
      <c r="I401" s="387">
        <v>1</v>
      </c>
      <c r="J401" s="284" t="s">
        <v>109</v>
      </c>
      <c r="K401" s="284" t="s">
        <v>237</v>
      </c>
    </row>
    <row r="402" spans="2:11" hidden="1">
      <c r="B402" s="119" t="s">
        <v>1031</v>
      </c>
      <c r="C402" s="284" t="s">
        <v>2374</v>
      </c>
      <c r="D402" s="391" t="s">
        <v>2194</v>
      </c>
      <c r="E402" s="389" t="s">
        <v>45</v>
      </c>
      <c r="F402" s="295">
        <v>522301</v>
      </c>
      <c r="G402" s="295" t="s">
        <v>200</v>
      </c>
      <c r="H402" s="387" t="s">
        <v>1413</v>
      </c>
      <c r="I402" s="387">
        <v>4</v>
      </c>
      <c r="J402" s="284" t="s">
        <v>109</v>
      </c>
      <c r="K402" s="284" t="s">
        <v>237</v>
      </c>
    </row>
    <row r="403" spans="2:11">
      <c r="B403" s="119" t="s">
        <v>1032</v>
      </c>
      <c r="C403" s="284" t="s">
        <v>2374</v>
      </c>
      <c r="D403" s="391" t="s">
        <v>2194</v>
      </c>
      <c r="E403" s="321" t="s">
        <v>2386</v>
      </c>
      <c r="F403" s="295">
        <v>721301</v>
      </c>
      <c r="G403" s="295" t="s">
        <v>913</v>
      </c>
      <c r="H403" s="295"/>
      <c r="I403" s="295">
        <v>1</v>
      </c>
      <c r="J403" s="141" t="s">
        <v>61</v>
      </c>
      <c r="K403" s="284" t="s">
        <v>851</v>
      </c>
    </row>
    <row r="404" spans="2:11" hidden="1">
      <c r="B404" s="119" t="s">
        <v>1033</v>
      </c>
      <c r="C404" s="284" t="s">
        <v>2371</v>
      </c>
      <c r="D404" s="391" t="s">
        <v>265</v>
      </c>
      <c r="E404" s="284" t="s">
        <v>44</v>
      </c>
      <c r="F404" s="295">
        <v>512001</v>
      </c>
      <c r="G404" s="120" t="s">
        <v>203</v>
      </c>
      <c r="H404" s="387" t="s">
        <v>1413</v>
      </c>
      <c r="I404" s="387">
        <v>2</v>
      </c>
      <c r="J404" s="284" t="s">
        <v>109</v>
      </c>
      <c r="K404" s="284" t="s">
        <v>237</v>
      </c>
    </row>
    <row r="405" spans="2:11" hidden="1">
      <c r="B405" s="119" t="s">
        <v>1034</v>
      </c>
      <c r="C405" s="284" t="s">
        <v>2371</v>
      </c>
      <c r="D405" s="391" t="s">
        <v>265</v>
      </c>
      <c r="E405" s="284" t="s">
        <v>206</v>
      </c>
      <c r="F405" s="295">
        <v>722204</v>
      </c>
      <c r="G405" s="120" t="s">
        <v>207</v>
      </c>
      <c r="H405" s="387" t="s">
        <v>1411</v>
      </c>
      <c r="I405" s="387">
        <v>5</v>
      </c>
      <c r="J405" s="284" t="s">
        <v>109</v>
      </c>
      <c r="K405" s="284" t="s">
        <v>237</v>
      </c>
    </row>
    <row r="406" spans="2:11" hidden="1">
      <c r="B406" s="119" t="s">
        <v>1035</v>
      </c>
      <c r="C406" s="284" t="s">
        <v>2371</v>
      </c>
      <c r="D406" s="391" t="s">
        <v>265</v>
      </c>
      <c r="E406" s="284" t="s">
        <v>33</v>
      </c>
      <c r="F406" s="387">
        <v>752205</v>
      </c>
      <c r="G406" s="129" t="s">
        <v>204</v>
      </c>
      <c r="H406" s="387" t="s">
        <v>2377</v>
      </c>
      <c r="I406" s="387">
        <v>5</v>
      </c>
      <c r="J406" s="284" t="s">
        <v>109</v>
      </c>
      <c r="K406" s="284" t="s">
        <v>237</v>
      </c>
    </row>
    <row r="407" spans="2:11" hidden="1">
      <c r="B407" s="119" t="s">
        <v>1036</v>
      </c>
      <c r="C407" s="284" t="s">
        <v>2371</v>
      </c>
      <c r="D407" s="391" t="s">
        <v>265</v>
      </c>
      <c r="E407" s="284" t="s">
        <v>45</v>
      </c>
      <c r="F407" s="387">
        <v>522301</v>
      </c>
      <c r="G407" s="120" t="s">
        <v>200</v>
      </c>
      <c r="H407" s="387" t="s">
        <v>1413</v>
      </c>
      <c r="I407" s="387">
        <v>7</v>
      </c>
      <c r="J407" s="284" t="s">
        <v>109</v>
      </c>
      <c r="K407" s="284" t="s">
        <v>237</v>
      </c>
    </row>
    <row r="408" spans="2:11" hidden="1">
      <c r="B408" s="119" t="s">
        <v>1037</v>
      </c>
      <c r="C408" s="284" t="s">
        <v>2371</v>
      </c>
      <c r="D408" s="391" t="s">
        <v>265</v>
      </c>
      <c r="E408" s="284" t="s">
        <v>34</v>
      </c>
      <c r="F408" s="387">
        <v>723103</v>
      </c>
      <c r="G408" s="120" t="s">
        <v>201</v>
      </c>
      <c r="H408" s="387" t="s">
        <v>1413</v>
      </c>
      <c r="I408" s="387">
        <v>7</v>
      </c>
      <c r="J408" s="284" t="s">
        <v>109</v>
      </c>
      <c r="K408" s="284" t="s">
        <v>237</v>
      </c>
    </row>
    <row r="409" spans="2:11">
      <c r="B409" s="119" t="s">
        <v>1038</v>
      </c>
      <c r="C409" s="284" t="s">
        <v>2371</v>
      </c>
      <c r="D409" s="391" t="s">
        <v>265</v>
      </c>
      <c r="E409" s="273" t="s">
        <v>87</v>
      </c>
      <c r="F409" s="356">
        <v>741103</v>
      </c>
      <c r="G409" s="295" t="s">
        <v>205</v>
      </c>
      <c r="H409" s="392"/>
      <c r="I409" s="346">
        <v>1</v>
      </c>
      <c r="J409" s="273" t="s">
        <v>2392</v>
      </c>
      <c r="K409" s="360" t="s">
        <v>851</v>
      </c>
    </row>
    <row r="410" spans="2:11">
      <c r="B410" s="119" t="s">
        <v>1039</v>
      </c>
      <c r="C410" s="284" t="s">
        <v>2371</v>
      </c>
      <c r="D410" s="391" t="s">
        <v>265</v>
      </c>
      <c r="E410" s="260" t="s">
        <v>114</v>
      </c>
      <c r="F410" s="356">
        <v>514101</v>
      </c>
      <c r="G410" s="306" t="s">
        <v>197</v>
      </c>
      <c r="H410" s="444" t="s">
        <v>2394</v>
      </c>
      <c r="I410" s="346">
        <v>6</v>
      </c>
      <c r="J410" s="260" t="s">
        <v>2392</v>
      </c>
      <c r="K410" s="360" t="s">
        <v>851</v>
      </c>
    </row>
    <row r="411" spans="2:11">
      <c r="B411" s="119" t="s">
        <v>1040</v>
      </c>
      <c r="C411" s="284" t="s">
        <v>2371</v>
      </c>
      <c r="D411" s="391" t="s">
        <v>265</v>
      </c>
      <c r="E411" s="260" t="s">
        <v>247</v>
      </c>
      <c r="F411" s="356">
        <v>613003</v>
      </c>
      <c r="G411" s="392" t="s">
        <v>928</v>
      </c>
      <c r="H411" s="392"/>
      <c r="I411" s="346">
        <v>1</v>
      </c>
      <c r="J411" s="260" t="s">
        <v>2392</v>
      </c>
      <c r="K411" s="360" t="s">
        <v>851</v>
      </c>
    </row>
    <row r="412" spans="2:11" hidden="1">
      <c r="B412" s="119" t="s">
        <v>1041</v>
      </c>
      <c r="C412" s="284" t="s">
        <v>2371</v>
      </c>
      <c r="D412" s="391" t="s">
        <v>265</v>
      </c>
      <c r="E412" s="260" t="s">
        <v>624</v>
      </c>
      <c r="F412" s="356">
        <v>723310</v>
      </c>
      <c r="G412" s="392" t="s">
        <v>864</v>
      </c>
      <c r="H412" s="392"/>
      <c r="I412" s="346">
        <v>1</v>
      </c>
      <c r="J412" s="260" t="s">
        <v>2393</v>
      </c>
      <c r="K412" s="360" t="s">
        <v>41</v>
      </c>
    </row>
    <row r="413" spans="2:11" hidden="1">
      <c r="B413" s="295" t="s">
        <v>1042</v>
      </c>
      <c r="C413" s="360" t="s">
        <v>2404</v>
      </c>
      <c r="D413" s="392" t="s">
        <v>935</v>
      </c>
      <c r="E413" s="221" t="s">
        <v>52</v>
      </c>
      <c r="F413" s="120">
        <v>721306</v>
      </c>
      <c r="G413" s="120" t="s">
        <v>569</v>
      </c>
      <c r="H413" s="66" t="s">
        <v>1349</v>
      </c>
      <c r="I413" s="137">
        <v>2</v>
      </c>
      <c r="J413" s="141" t="s">
        <v>229</v>
      </c>
      <c r="K413" s="221" t="s">
        <v>105</v>
      </c>
    </row>
    <row r="414" spans="2:11" hidden="1">
      <c r="B414" s="119" t="s">
        <v>1043</v>
      </c>
      <c r="C414" s="360" t="s">
        <v>2406</v>
      </c>
      <c r="D414" s="392" t="s">
        <v>2328</v>
      </c>
      <c r="E414" s="221" t="s">
        <v>57</v>
      </c>
      <c r="F414" s="120">
        <v>751204</v>
      </c>
      <c r="G414" s="120" t="s">
        <v>262</v>
      </c>
      <c r="H414" s="119" t="s">
        <v>1345</v>
      </c>
      <c r="I414" s="392">
        <v>1</v>
      </c>
      <c r="J414" s="141" t="s">
        <v>229</v>
      </c>
      <c r="K414" s="221" t="s">
        <v>105</v>
      </c>
    </row>
    <row r="415" spans="2:11" hidden="1">
      <c r="B415" s="295" t="s">
        <v>1044</v>
      </c>
      <c r="C415" s="360" t="s">
        <v>2407</v>
      </c>
      <c r="D415" s="392" t="s">
        <v>2408</v>
      </c>
      <c r="E415" s="221" t="s">
        <v>57</v>
      </c>
      <c r="F415" s="120">
        <v>751204</v>
      </c>
      <c r="G415" s="120" t="s">
        <v>262</v>
      </c>
      <c r="H415" s="119" t="s">
        <v>1345</v>
      </c>
      <c r="I415" s="392">
        <v>1</v>
      </c>
      <c r="J415" s="141" t="s">
        <v>229</v>
      </c>
      <c r="K415" s="221" t="s">
        <v>105</v>
      </c>
    </row>
    <row r="416" spans="2:11" hidden="1">
      <c r="B416" s="119" t="s">
        <v>1045</v>
      </c>
      <c r="C416" s="360" t="s">
        <v>2409</v>
      </c>
      <c r="D416" s="392" t="s">
        <v>664</v>
      </c>
      <c r="E416" s="221" t="s">
        <v>57</v>
      </c>
      <c r="F416" s="120">
        <v>751204</v>
      </c>
      <c r="G416" s="120" t="s">
        <v>262</v>
      </c>
      <c r="H416" s="119" t="s">
        <v>1345</v>
      </c>
      <c r="I416" s="392">
        <v>1</v>
      </c>
      <c r="J416" s="141" t="s">
        <v>229</v>
      </c>
      <c r="K416" s="221" t="s">
        <v>105</v>
      </c>
    </row>
    <row r="417" spans="2:11" hidden="1">
      <c r="B417" s="295" t="s">
        <v>1046</v>
      </c>
      <c r="C417" s="360" t="s">
        <v>2410</v>
      </c>
      <c r="D417" s="392" t="s">
        <v>2325</v>
      </c>
      <c r="E417" s="221" t="s">
        <v>57</v>
      </c>
      <c r="F417" s="120">
        <v>751204</v>
      </c>
      <c r="G417" s="120" t="s">
        <v>262</v>
      </c>
      <c r="H417" s="119" t="s">
        <v>1345</v>
      </c>
      <c r="I417" s="392">
        <v>1</v>
      </c>
      <c r="J417" s="141" t="s">
        <v>229</v>
      </c>
      <c r="K417" s="221" t="s">
        <v>105</v>
      </c>
    </row>
    <row r="418" spans="2:11" hidden="1">
      <c r="B418" s="119" t="s">
        <v>1047</v>
      </c>
      <c r="C418" s="360" t="s">
        <v>2411</v>
      </c>
      <c r="D418" s="392" t="s">
        <v>2412</v>
      </c>
      <c r="E418" s="221" t="s">
        <v>57</v>
      </c>
      <c r="F418" s="120">
        <v>751204</v>
      </c>
      <c r="G418" s="120" t="s">
        <v>262</v>
      </c>
      <c r="H418" s="119" t="s">
        <v>1345</v>
      </c>
      <c r="I418" s="392">
        <v>2</v>
      </c>
      <c r="J418" s="141" t="s">
        <v>229</v>
      </c>
      <c r="K418" s="221" t="s">
        <v>105</v>
      </c>
    </row>
    <row r="419" spans="2:11" hidden="1">
      <c r="B419" s="295" t="s">
        <v>1048</v>
      </c>
      <c r="C419" s="389" t="s">
        <v>1352</v>
      </c>
      <c r="D419" s="387" t="s">
        <v>1353</v>
      </c>
      <c r="E419" s="389" t="s">
        <v>33</v>
      </c>
      <c r="F419" s="295">
        <v>752205</v>
      </c>
      <c r="G419" s="295" t="s">
        <v>204</v>
      </c>
      <c r="H419" s="392" t="s">
        <v>1349</v>
      </c>
      <c r="I419" s="392">
        <v>7</v>
      </c>
      <c r="J419" s="141" t="s">
        <v>229</v>
      </c>
      <c r="K419" s="221" t="s">
        <v>105</v>
      </c>
    </row>
  </sheetData>
  <autoFilter ref="B7:Q419">
    <filterColumn colId="9">
      <filters>
        <filter val="CKZ Wschowa"/>
      </filters>
    </filterColumn>
    <sortState ref="B172:Q232">
      <sortCondition descending="1" ref="D7:D398"/>
    </sortState>
  </autoFilter>
  <mergeCells count="12">
    <mergeCell ref="K7:K8"/>
    <mergeCell ref="B7:B8"/>
    <mergeCell ref="C7:C8"/>
    <mergeCell ref="E7:E8"/>
    <mergeCell ref="F7:F8"/>
    <mergeCell ref="G7:G8"/>
    <mergeCell ref="D7:D8"/>
    <mergeCell ref="C3:J3"/>
    <mergeCell ref="C4:J4"/>
    <mergeCell ref="C5:J5"/>
    <mergeCell ref="H7:H8"/>
    <mergeCell ref="J7: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topLeftCell="C1" zoomScaleNormal="100" workbookViewId="0">
      <selection activeCell="AH5" sqref="AH5"/>
    </sheetView>
  </sheetViews>
  <sheetFormatPr defaultColWidth="9.140625" defaultRowHeight="15"/>
  <cols>
    <col min="1" max="1" width="9.140625" style="69"/>
    <col min="2" max="2" width="45.7109375" style="69" customWidth="1"/>
    <col min="3" max="4" width="8.140625" style="70" customWidth="1"/>
    <col min="5" max="5" width="78.5703125" style="69" customWidth="1"/>
    <col min="6" max="6" width="11" style="69" customWidth="1"/>
    <col min="7" max="7" width="5.42578125" style="69" customWidth="1"/>
    <col min="8" max="8" width="6.42578125" style="69" customWidth="1"/>
    <col min="9" max="9" width="5.42578125" style="69" customWidth="1"/>
    <col min="10" max="10" width="6.140625" style="69" customWidth="1"/>
    <col min="11" max="11" width="5.5703125" style="69" customWidth="1"/>
    <col min="12" max="12" width="5" style="69" customWidth="1"/>
    <col min="13" max="13" width="4.42578125" style="69" customWidth="1"/>
    <col min="14" max="14" width="4.85546875" style="69" customWidth="1"/>
    <col min="15" max="15" width="4.42578125" style="69" customWidth="1"/>
    <col min="16" max="16" width="5.42578125" style="69" customWidth="1"/>
    <col min="17" max="17" width="6" style="69" customWidth="1"/>
    <col min="18" max="18" width="6.140625" style="69" customWidth="1"/>
    <col min="19" max="19" width="4.28515625" style="69" customWidth="1"/>
    <col min="20" max="20" width="5.42578125" style="69" customWidth="1"/>
    <col min="21" max="21" width="4.42578125" style="69" customWidth="1"/>
    <col min="22" max="22" width="4.7109375" style="69" customWidth="1"/>
    <col min="23" max="23" width="5.42578125" style="69" customWidth="1"/>
    <col min="24" max="24" width="7" style="69" customWidth="1"/>
    <col min="25" max="31" width="4.140625" style="69" customWidth="1"/>
    <col min="32" max="33" width="9.140625" style="69" customWidth="1"/>
    <col min="34" max="16384" width="9.140625" style="69"/>
  </cols>
  <sheetData>
    <row r="1" spans="1:33">
      <c r="A1" s="85"/>
      <c r="B1" s="84">
        <f ca="1">NOW()</f>
        <v>44169.164513310185</v>
      </c>
    </row>
    <row r="3" spans="1:33">
      <c r="B3" s="434" t="s">
        <v>591</v>
      </c>
      <c r="C3" s="435" t="s">
        <v>658</v>
      </c>
      <c r="D3" s="197"/>
      <c r="E3" s="71" t="s">
        <v>659</v>
      </c>
      <c r="F3" s="78" t="s">
        <v>661</v>
      </c>
      <c r="G3" s="436" t="s">
        <v>660</v>
      </c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8"/>
      <c r="AG3" s="69">
        <f>SUM(G6:AF100)</f>
        <v>2270</v>
      </c>
    </row>
    <row r="4" spans="1:33" ht="15" customHeight="1">
      <c r="B4" s="434"/>
      <c r="C4" s="435"/>
      <c r="D4" s="197"/>
      <c r="E4" s="196"/>
      <c r="F4" s="75"/>
      <c r="G4" s="79"/>
      <c r="H4" s="80"/>
      <c r="I4" s="80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112"/>
      <c r="Z4" s="112"/>
      <c r="AA4" s="112"/>
      <c r="AB4" s="112"/>
      <c r="AC4" s="112"/>
      <c r="AD4" s="112"/>
      <c r="AE4" s="112"/>
    </row>
    <row r="5" spans="1:33" ht="90.75" customHeight="1">
      <c r="B5" s="73">
        <v>1</v>
      </c>
      <c r="C5" s="73">
        <v>2</v>
      </c>
      <c r="D5" s="73"/>
      <c r="E5" s="73">
        <v>9</v>
      </c>
      <c r="F5" s="76">
        <f>SUM(F6:F716)</f>
        <v>2270</v>
      </c>
      <c r="G5" s="123" t="s">
        <v>192</v>
      </c>
      <c r="H5" s="124" t="s">
        <v>528</v>
      </c>
      <c r="I5" s="124" t="s">
        <v>253</v>
      </c>
      <c r="J5" s="124" t="s">
        <v>260</v>
      </c>
      <c r="K5" s="124" t="s">
        <v>530</v>
      </c>
      <c r="L5" s="124" t="s">
        <v>252</v>
      </c>
      <c r="M5" s="124" t="s">
        <v>532</v>
      </c>
      <c r="N5" s="124" t="s">
        <v>256</v>
      </c>
      <c r="O5" s="124" t="s">
        <v>235</v>
      </c>
      <c r="P5" s="124" t="s">
        <v>49</v>
      </c>
      <c r="Q5" s="125" t="s">
        <v>663</v>
      </c>
      <c r="R5" s="125" t="s">
        <v>667</v>
      </c>
      <c r="S5" s="125" t="s">
        <v>668</v>
      </c>
      <c r="T5" s="125" t="s">
        <v>664</v>
      </c>
      <c r="U5" s="125" t="s">
        <v>665</v>
      </c>
      <c r="V5" s="125" t="s">
        <v>666</v>
      </c>
      <c r="W5" s="125" t="s">
        <v>254</v>
      </c>
      <c r="X5" s="125" t="s">
        <v>662</v>
      </c>
      <c r="Y5" s="77" t="s">
        <v>937</v>
      </c>
      <c r="Z5" s="77" t="s">
        <v>940</v>
      </c>
      <c r="AA5" s="77" t="s">
        <v>1156</v>
      </c>
      <c r="AB5" s="77" t="s">
        <v>1371</v>
      </c>
      <c r="AC5" s="77" t="s">
        <v>51</v>
      </c>
      <c r="AD5" s="77" t="s">
        <v>1513</v>
      </c>
      <c r="AE5" s="77" t="s">
        <v>275</v>
      </c>
      <c r="AF5" s="77" t="s">
        <v>848</v>
      </c>
    </row>
    <row r="6" spans="1:33">
      <c r="B6" s="106" t="s">
        <v>84</v>
      </c>
      <c r="C6" s="107">
        <v>343101</v>
      </c>
      <c r="D6" s="107" t="s">
        <v>65</v>
      </c>
      <c r="E6" s="106" t="s">
        <v>669</v>
      </c>
      <c r="F6" s="103">
        <f>SUMIF('1 stopień 20_21'!G$9:G$773,D6,'1 stopień 20_21'!I$9:I$773)</f>
        <v>18</v>
      </c>
      <c r="G6" s="104">
        <f>SUMIFS('1 stopień 20_21'!$I$9:$I$773,'1 stopień 20_21'!$G$9:$G$773,D6,'1 stopień 20_21'!$K$9:$K$773,"CKZ Bielawa")</f>
        <v>0</v>
      </c>
      <c r="H6" s="104">
        <f>SUMIFS('1 stopień 20_21'!$I$9:$I$773,'1 stopień 20_21'!$G$9:$G$773,D6,'1 stopień 20_21'!$K$9:$K$773,"GCKZ Głogów")</f>
        <v>0</v>
      </c>
      <c r="I6" s="104">
        <f>SUMIFS('1 stopień 20_21'!$I$9:$I$773,'1 stopień 20_21'!$G$9:$G$773,D6,'1 stopień 20_21'!$K$9:$K$773,"CKZ Jawor")</f>
        <v>0</v>
      </c>
      <c r="J6" s="104">
        <f>SUMIFS('1 stopień 20_21'!$I$9:$I$773,'1 stopień 20_21'!$G$9:$G$773,D6,'1 stopień 20_21'!$K$9:$K$773,"JCKZ Jelenia Góra")</f>
        <v>0</v>
      </c>
      <c r="K6" s="104">
        <f>SUMIFS('1 stopień 20_21'!$I$9:$I$773,'1 stopień 20_21'!$G$9:$G$773,D6,'1 stopień 20_21'!$K$9:$K$773,"CKZ Kłodzko")</f>
        <v>0</v>
      </c>
      <c r="L6" s="104">
        <f>SUMIFS('1 stopień 20_21'!$I$9:$I$773,'1 stopień 20_21'!$G$9:$G$773,D6,'1 stopień 20_21'!$K$9:$K$773,"CKZ Legnica")</f>
        <v>0</v>
      </c>
      <c r="M6" s="104">
        <f>SUMIFS('1 stopień 20_21'!$I$9:$I$773,'1 stopień 20_21'!$G$9:$G$773,D6,'1 stopień 20_21'!$K$9:$K$773,"CKZ Oleśnica")</f>
        <v>0</v>
      </c>
      <c r="N6" s="104">
        <f>SUMIFS('1 stopień 20_21'!$I$9:$I$773,'1 stopień 20_21'!$G$9:$G$773,D6,'1 stopień 20_21'!$K$9:$K$773,"CKZ Świdnica")</f>
        <v>0</v>
      </c>
      <c r="O6" s="104">
        <f>SUMIFS('1 stopień 20_21'!$I$9:$I$773,'1 stopień 20_21'!$G$9:$G$773,D6,'1 stopień 20_21'!$K$9:$K$773,"CKZ Wołów")</f>
        <v>0</v>
      </c>
      <c r="P6" s="104">
        <f>SUMIFS('1 stopień 20_21'!$I$9:$I$773,'1 stopień 20_21'!$G$9:$G$773,D6,'1 stopień 20_21'!$K$9:$K$773,"CKZ Ziębice")</f>
        <v>0</v>
      </c>
      <c r="Q6" s="104">
        <f>SUMIFS('1 stopień 20_21'!$I$9:$I$773,'1 stopień 20_21'!$G$9:$G$773,D6,'1 stopień 20_21'!$K$9:$K$773,"CKZ Dobrodzień")</f>
        <v>0</v>
      </c>
      <c r="R6" s="104">
        <f>SUMIFS('1 stopień 20_21'!$I$9:$I$773,'1 stopień 20_21'!$G$9:$G$773,D6,'1 stopień 20_21'!$K$9:$K$773,"CKZ Głubczyce")</f>
        <v>0</v>
      </c>
      <c r="S6" s="104">
        <f>SUMIFS('1 stopień 20_21'!$I$9:$I$773,'1 stopień 20_21'!$G$9:$G$773,D6,'1 stopień 20_21'!$K$9:$K$773,"CKZ Kędzierzyn Kożle")</f>
        <v>0</v>
      </c>
      <c r="T6" s="104">
        <f>SUMIFS('1 stopień 20_21'!$I$9:$I$773,'1 stopień 20_21'!$G$9:$G$773,D6,'1 stopień 20_21'!$K$9:$K$773,"CKZ Kluczbork")</f>
        <v>0</v>
      </c>
      <c r="U6" s="104">
        <f>SUMIFS('1 stopień 20_21'!$I$9:$I$773,'1 stopień 20_21'!$G$9:$G$773,D6,'1 stopień 20_21'!$K$9:$K$773,"CKZ Krotoszyn")</f>
        <v>0</v>
      </c>
      <c r="V6" s="104">
        <f>SUMIFS('1 stopień 20_21'!$I$9:$I$773,'1 stopień 20_21'!$G$9:$G$773,D6,'1 stopień 20_21'!$K$9:$K$773,"CKZ Olkusz")</f>
        <v>0</v>
      </c>
      <c r="W6" s="104">
        <f>SUMIFS('1 stopień 20_21'!$I$9:$I$773,'1 stopień 20_21'!$G$9:$G$773,D6,'1 stopień 20_21'!$K$9:$K$773,"CKZ Wschowa")</f>
        <v>0</v>
      </c>
      <c r="X6" s="104">
        <f>SUMIFS('1 stopień 20_21'!$I$9:$I$773,'1 stopień 20_21'!$G$9:$G$773,D6,'1 stopień 20_21'!$K$9:$K$773,"CKZ Zielona Góra")</f>
        <v>11</v>
      </c>
      <c r="Y6" s="104">
        <f>SUMIFS('1 stopień 20_21'!$I$9:$I$773,'1 stopień 20_21'!$G$9:$G$773,D6,'1 stopień 20_21'!$K$9:$K$773,"Rzemieślnicza Wałbrzych")</f>
        <v>0</v>
      </c>
      <c r="Z6" s="104">
        <f>SUMIFS('1 stopień 20_21'!$I$9:$I$773,'1 stopień 20_21'!$G$9:$G$773,D6,'1 stopień 20_21'!$K$9:$K$773,"CKZ Mosina")</f>
        <v>0</v>
      </c>
      <c r="AA6" s="104">
        <f>SUMIFS('1 stopień 20_21'!$I$9:$I$773,'1 stopień 20_21'!$G$9:$G$773,D6,'1 stopień 20_21'!$K$9:$K$773,"CKZ Słupsk")</f>
        <v>0</v>
      </c>
      <c r="AB6" s="104">
        <f>SUMIFS('1 stopień 20_21'!$I$9:$I$773,'1 stopień 20_21'!$G$9:$G$773,D6,'1 stopień 20_21'!$K$9:$K$773,"Toyota")</f>
        <v>0</v>
      </c>
      <c r="AC6" s="104">
        <f>SUMIFS('1 stopień 20_21'!$I$9:$I$773,'1 stopień 20_21'!$G$9:$G$773,D6,'1 stopień 20_21'!$K$9:$K$773,"CKZ Wrocław")</f>
        <v>7</v>
      </c>
      <c r="AD6" s="104">
        <f>SUMIFS('1 stopień 20_21'!$I$9:$I$773,'1 stopień 20_21'!$G$9:$G$773,D6,'1 stopień 20_21'!$K$9:$K$773,"CKZ Opole")</f>
        <v>0</v>
      </c>
      <c r="AE6" s="104">
        <f>SUMIFS('1 stopień 20_21'!$I$9:$I$773,'1 stopień 20_21'!$G$9:$G$773,D6,'1 stopień 20_21'!$K$9:$K$773,"Chojnów")</f>
        <v>0</v>
      </c>
      <c r="AF6" s="104">
        <f>SUMIFS('1 stopień 20_21'!$I$9:$I$773,'1 stopień 20_21'!$G$9:$G$773,D6,'1 stopień 20_21'!$K$9:$K$773,"")</f>
        <v>0</v>
      </c>
      <c r="AG6" s="105">
        <f t="shared" ref="AG6:AG37" si="0">SUM(G6:AF6)</f>
        <v>18</v>
      </c>
    </row>
    <row r="7" spans="1:33">
      <c r="B7" s="106" t="s">
        <v>592</v>
      </c>
      <c r="C7" s="107">
        <v>711402</v>
      </c>
      <c r="D7" s="107" t="s">
        <v>854</v>
      </c>
      <c r="E7" s="106" t="s">
        <v>670</v>
      </c>
      <c r="F7" s="103">
        <f>SUMIF('1 stopień 20_21'!G$9:G$773,D7,'1 stopień 20_21'!I$9:I$773)</f>
        <v>6</v>
      </c>
      <c r="G7" s="104">
        <f>SUMIFS('1 stopień 20_21'!$I$9:$I$773,'1 stopień 20_21'!$G$9:$G$773,D7,'1 stopień 20_21'!$K$9:$K$773,"CKZ Bielawa")</f>
        <v>0</v>
      </c>
      <c r="H7" s="104">
        <f>SUMIFS('1 stopień 20_21'!$I$9:$I$773,'1 stopień 20_21'!$G$9:$G$773,D7,'1 stopień 20_21'!$K$9:$K$773,"GCKZ Głogów")</f>
        <v>0</v>
      </c>
      <c r="I7" s="104">
        <f>SUMIFS('1 stopień 20_21'!$I$9:$I$773,'1 stopień 20_21'!$G$9:$G$773,D7,'1 stopień 20_21'!$K$9:$K$773,"CKZ Jawor")</f>
        <v>0</v>
      </c>
      <c r="J7" s="104">
        <f>SUMIFS('1 stopień 20_21'!$I$9:$I$773,'1 stopień 20_21'!$G$9:$G$773,D7,'1 stopień 20_21'!$K$9:$K$773,"JCKZ Jelenia Góra")</f>
        <v>0</v>
      </c>
      <c r="K7" s="104">
        <f>SUMIFS('1 stopień 20_21'!$I$9:$I$773,'1 stopień 20_21'!$G$9:$G$773,D7,'1 stopień 20_21'!$K$9:$K$773,"CKZ Kłodzko")</f>
        <v>0</v>
      </c>
      <c r="L7" s="104">
        <f>SUMIFS('1 stopień 20_21'!$I$9:$I$773,'1 stopień 20_21'!$G$9:$G$773,D7,'1 stopień 20_21'!$K$9:$K$773,"CKZ Legnica")</f>
        <v>0</v>
      </c>
      <c r="M7" s="104">
        <f>SUMIFS('1 stopień 20_21'!$I$9:$I$773,'1 stopień 20_21'!$G$9:$G$773,D7,'1 stopień 20_21'!$K$9:$K$773,"CKZ Oleśnica")</f>
        <v>0</v>
      </c>
      <c r="N7" s="104">
        <f>SUMIFS('1 stopień 20_21'!$I$9:$I$773,'1 stopień 20_21'!$G$9:$G$773,D7,'1 stopień 20_21'!$K$9:$K$773,"CKZ Świdnica")</f>
        <v>0</v>
      </c>
      <c r="O7" s="104">
        <f>SUMIFS('1 stopień 20_21'!$I$9:$I$773,'1 stopień 20_21'!$G$9:$G$773,D7,'1 stopień 20_21'!$K$9:$K$773,"CKZ Wołów")</f>
        <v>0</v>
      </c>
      <c r="P7" s="104">
        <f>SUMIFS('1 stopień 20_21'!$I$9:$I$773,'1 stopień 20_21'!$G$9:$G$773,D7,'1 stopień 20_21'!$K$9:$K$773,"CKZ Ziębice")</f>
        <v>0</v>
      </c>
      <c r="Q7" s="104">
        <f>SUMIFS('1 stopień 20_21'!$I$9:$I$773,'1 stopień 20_21'!$G$9:$G$773,D7,'1 stopień 20_21'!$K$9:$K$773,"CKZ Dobrodzień")</f>
        <v>0</v>
      </c>
      <c r="R7" s="104">
        <f>SUMIFS('1 stopień 20_21'!$I$9:$I$773,'1 stopień 20_21'!$G$9:$G$773,D7,'1 stopień 20_21'!$K$9:$K$773,"CKZ Głubczyce")</f>
        <v>0</v>
      </c>
      <c r="S7" s="104">
        <f>SUMIFS('1 stopień 20_21'!$I$9:$I$773,'1 stopień 20_21'!$G$9:$G$773,D7,'1 stopień 20_21'!$K$9:$K$773,"CKZ Kędzierzyn Kożle")</f>
        <v>0</v>
      </c>
      <c r="T7" s="104">
        <f>SUMIFS('1 stopień 20_21'!$I$9:$I$773,'1 stopień 20_21'!$G$9:$G$773,D7,'1 stopień 20_21'!$K$9:$K$773,"CKZ Kluczbork")</f>
        <v>0</v>
      </c>
      <c r="U7" s="104">
        <f>SUMIFS('1 stopień 20_21'!$I$9:$I$773,'1 stopień 20_21'!$G$9:$G$773,D7,'1 stopień 20_21'!$K$9:$K$773,"CKZ Krotoszyn")</f>
        <v>0</v>
      </c>
      <c r="V7" s="104">
        <f>SUMIFS('1 stopień 20_21'!$I$9:$I$773,'1 stopień 20_21'!$G$9:$G$773,D7,'1 stopień 20_21'!$K$9:$K$773,"CKZ Olkusz")</f>
        <v>0</v>
      </c>
      <c r="W7" s="104">
        <f>SUMIFS('1 stopień 20_21'!$I$9:$I$773,'1 stopień 20_21'!$G$9:$G$773,D7,'1 stopień 20_21'!$K$9:$K$773,"CKZ Wschowa")</f>
        <v>0</v>
      </c>
      <c r="X7" s="104">
        <f>SUMIFS('1 stopień 20_21'!$I$9:$I$773,'1 stopień 20_21'!$G$9:$G$773,D7,'1 stopień 20_21'!$K$9:$K$773,"CKZ Zielona Góra")</f>
        <v>6</v>
      </c>
      <c r="Y7" s="104">
        <f>SUMIFS('1 stopień 20_21'!$I$9:$I$773,'1 stopień 20_21'!$G$9:$G$773,D7,'1 stopień 20_21'!$K$9:$K$773,"Rzemieślnicza Wałbrzych")</f>
        <v>0</v>
      </c>
      <c r="Z7" s="104">
        <f>SUMIFS('1 stopień 20_21'!$I$9:$I$773,'1 stopień 20_21'!$G$9:$G$773,D7,'1 stopień 20_21'!$K$9:$K$773,"CKZ Mosina")</f>
        <v>0</v>
      </c>
      <c r="AA7" s="104">
        <f>SUMIFS('1 stopień 20_21'!$I$9:$I$773,'1 stopień 20_21'!$G$9:$G$773,D7,'1 stopień 20_21'!$K$9:$K$773,"CKZ Słupsk")</f>
        <v>0</v>
      </c>
      <c r="AB7" s="104">
        <f>SUMIFS('1 stopień 20_21'!$I$9:$I$773,'1 stopień 20_21'!$G$9:$G$773,D7,'1 stopień 20_21'!$K$9:$K$773,"Toyota")</f>
        <v>0</v>
      </c>
      <c r="AC7" s="104">
        <f>SUMIFS('1 stopień 20_21'!$I$9:$I$773,'1 stopień 20_21'!$G$9:$G$773,D7,'1 stopień 20_21'!$K$9:$K$773,"CKZ Wrocław")</f>
        <v>0</v>
      </c>
      <c r="AD7" s="104">
        <f>SUMIFS('1 stopień 20_21'!$I$9:$I$773,'1 stopień 20_21'!$G$9:$G$773,D7,'1 stopień 20_21'!$K$9:$K$773,"CKZ Opole")</f>
        <v>0</v>
      </c>
      <c r="AE7" s="104">
        <f>SUMIFS('1 stopień 20_21'!$I$9:$I$773,'1 stopień 20_21'!$G$9:$G$773,D7,'1 stopień 20_21'!$K$9:$K$773,"Chojnów")</f>
        <v>0</v>
      </c>
      <c r="AF7" s="104">
        <f>SUMIFS('1 stopień 20_21'!$I$9:$I$773,'1 stopień 20_21'!$G$9:$G$773,D7,'1 stopień 20_21'!$K$9:$K$773,"")</f>
        <v>0</v>
      </c>
      <c r="AG7" s="105">
        <f t="shared" si="0"/>
        <v>6</v>
      </c>
    </row>
    <row r="8" spans="1:33">
      <c r="B8" s="106" t="s">
        <v>593</v>
      </c>
      <c r="C8" s="107">
        <v>711501</v>
      </c>
      <c r="D8" s="107" t="s">
        <v>1372</v>
      </c>
      <c r="E8" s="106" t="s">
        <v>672</v>
      </c>
      <c r="F8" s="103">
        <f>SUMIF('1 stopień 20_21'!G$9:G$773,D8,'1 stopień 20_21'!I$9:I$773)</f>
        <v>0</v>
      </c>
      <c r="G8" s="104">
        <f>SUMIFS('1 stopień 20_21'!$I$9:$I$773,'1 stopień 20_21'!$G$9:$G$773,D8,'1 stopień 20_21'!$K$9:$K$773,"CKZ Bielawa")</f>
        <v>0</v>
      </c>
      <c r="H8" s="104">
        <f>SUMIFS('1 stopień 20_21'!$I$9:$I$773,'1 stopień 20_21'!$G$9:$G$773,D8,'1 stopień 20_21'!$K$9:$K$773,"GCKZ Głogów")</f>
        <v>0</v>
      </c>
      <c r="I8" s="104">
        <f>SUMIFS('1 stopień 20_21'!$I$9:$I$773,'1 stopień 20_21'!$G$9:$G$773,D8,'1 stopień 20_21'!$K$9:$K$773,"CKZ Jawor")</f>
        <v>0</v>
      </c>
      <c r="J8" s="104">
        <f>SUMIFS('1 stopień 20_21'!$I$9:$I$773,'1 stopień 20_21'!$G$9:$G$773,D8,'1 stopień 20_21'!$K$9:$K$773,"JCKZ Jelenia Góra")</f>
        <v>0</v>
      </c>
      <c r="K8" s="104">
        <f>SUMIFS('1 stopień 20_21'!$I$9:$I$773,'1 stopień 20_21'!$G$9:$G$773,D8,'1 stopień 20_21'!$K$9:$K$773,"CKZ Kłodzko")</f>
        <v>0</v>
      </c>
      <c r="L8" s="104">
        <f>SUMIFS('1 stopień 20_21'!$I$9:$I$773,'1 stopień 20_21'!$G$9:$G$773,D8,'1 stopień 20_21'!$K$9:$K$773,"CKZ Legnica")</f>
        <v>0</v>
      </c>
      <c r="M8" s="104">
        <f>SUMIFS('1 stopień 20_21'!$I$9:$I$773,'1 stopień 20_21'!$G$9:$G$773,D8,'1 stopień 20_21'!$K$9:$K$773,"CKZ Oleśnica")</f>
        <v>0</v>
      </c>
      <c r="N8" s="104">
        <f>SUMIFS('1 stopień 20_21'!$I$9:$I$773,'1 stopień 20_21'!$G$9:$G$773,D8,'1 stopień 20_21'!$K$9:$K$773,"CKZ Świdnica")</f>
        <v>0</v>
      </c>
      <c r="O8" s="104">
        <f>SUMIFS('1 stopień 20_21'!$I$9:$I$773,'1 stopień 20_21'!$G$9:$G$773,D8,'1 stopień 20_21'!$K$9:$K$773,"CKZ Wołów")</f>
        <v>0</v>
      </c>
      <c r="P8" s="104">
        <f>SUMIFS('1 stopień 20_21'!$I$9:$I$773,'1 stopień 20_21'!$G$9:$G$773,D8,'1 stopień 20_21'!$K$9:$K$773,"CKZ Ziębice")</f>
        <v>0</v>
      </c>
      <c r="Q8" s="104">
        <f>SUMIFS('1 stopień 20_21'!$I$9:$I$773,'1 stopień 20_21'!$G$9:$G$773,D8,'1 stopień 20_21'!$K$9:$K$773,"CKZ Dobrodzień")</f>
        <v>0</v>
      </c>
      <c r="R8" s="104">
        <f>SUMIFS('1 stopień 20_21'!$I$9:$I$773,'1 stopień 20_21'!$G$9:$G$773,D8,'1 stopień 20_21'!$K$9:$K$773,"CKZ Głubczyce")</f>
        <v>0</v>
      </c>
      <c r="S8" s="104">
        <f>SUMIFS('1 stopień 20_21'!$I$9:$I$773,'1 stopień 20_21'!$G$9:$G$773,D8,'1 stopień 20_21'!$K$9:$K$773,"CKZ Kędzierzyn Kożle")</f>
        <v>0</v>
      </c>
      <c r="T8" s="104">
        <f>SUMIFS('1 stopień 20_21'!$I$9:$I$773,'1 stopień 20_21'!$G$9:$G$773,D8,'1 stopień 20_21'!$K$9:$K$773,"CKZ Kluczbork")</f>
        <v>0</v>
      </c>
      <c r="U8" s="104">
        <f>SUMIFS('1 stopień 20_21'!$I$9:$I$773,'1 stopień 20_21'!$G$9:$G$773,D8,'1 stopień 20_21'!$K$9:$K$773,"CKZ Krotoszyn")</f>
        <v>0</v>
      </c>
      <c r="V8" s="104">
        <f>SUMIFS('1 stopień 20_21'!$I$9:$I$773,'1 stopień 20_21'!$G$9:$G$773,D8,'1 stopień 20_21'!$K$9:$K$773,"CKZ Olkusz")</f>
        <v>0</v>
      </c>
      <c r="W8" s="104">
        <f>SUMIFS('1 stopień 20_21'!$I$9:$I$773,'1 stopień 20_21'!$G$9:$G$773,D8,'1 stopień 20_21'!$K$9:$K$773,"CKZ Wschowa")</f>
        <v>0</v>
      </c>
      <c r="X8" s="104">
        <f>SUMIFS('1 stopień 20_21'!$I$9:$I$773,'1 stopień 20_21'!$G$9:$G$773,D8,'1 stopień 20_21'!$K$9:$K$773,"CKZ Zielona Góra")</f>
        <v>0</v>
      </c>
      <c r="Y8" s="104">
        <f>SUMIFS('1 stopień 20_21'!$I$9:$I$773,'1 stopień 20_21'!$G$9:$G$773,D8,'1 stopień 20_21'!$K$9:$K$773,"Rzemieślnicza Wałbrzych")</f>
        <v>0</v>
      </c>
      <c r="Z8" s="104">
        <f>SUMIFS('1 stopień 20_21'!$I$9:$I$773,'1 stopień 20_21'!$G$9:$G$773,D8,'1 stopień 20_21'!$K$9:$K$773,"CKZ Mosina")</f>
        <v>0</v>
      </c>
      <c r="AA8" s="104">
        <f>SUMIFS('1 stopień 20_21'!$I$9:$I$773,'1 stopień 20_21'!$G$9:$G$773,D8,'1 stopień 20_21'!$K$9:$K$773,"CKZ Słupsk")</f>
        <v>0</v>
      </c>
      <c r="AB8" s="104">
        <f>SUMIFS('1 stopień 20_21'!$I$9:$I$773,'1 stopień 20_21'!$G$9:$G$773,D8,'1 stopień 20_21'!$K$9:$K$773,"Toyota")</f>
        <v>0</v>
      </c>
      <c r="AC8" s="104">
        <f>SUMIFS('1 stopień 20_21'!$I$9:$I$773,'1 stopień 20_21'!$G$9:$G$773,D8,'1 stopień 20_21'!$K$9:$K$773,"CKZ Wrocław")</f>
        <v>0</v>
      </c>
      <c r="AD8" s="104">
        <f>SUMIFS('1 stopień 20_21'!$I$9:$I$773,'1 stopień 20_21'!$G$9:$G$773,D8,'1 stopień 20_21'!$K$9:$K$773,"CKZ Opole")</f>
        <v>0</v>
      </c>
      <c r="AE8" s="104">
        <f>SUMIFS('1 stopień 20_21'!$I$9:$I$773,'1 stopień 20_21'!$G$9:$G$773,D8,'1 stopień 20_21'!$K$9:$K$773,"Chojnów")</f>
        <v>0</v>
      </c>
      <c r="AF8" s="104">
        <f>SUMIFS('1 stopień 20_21'!$I$9:$I$773,'1 stopień 20_21'!$G$9:$G$773,D8,'1 stopień 20_21'!$K$9:$K$773,"")</f>
        <v>0</v>
      </c>
      <c r="AG8" s="105">
        <f t="shared" si="0"/>
        <v>0</v>
      </c>
    </row>
    <row r="9" spans="1:33">
      <c r="B9" s="106" t="s">
        <v>594</v>
      </c>
      <c r="C9" s="107">
        <v>712101</v>
      </c>
      <c r="D9" s="107" t="s">
        <v>184</v>
      </c>
      <c r="E9" s="106" t="s">
        <v>674</v>
      </c>
      <c r="F9" s="103">
        <f>SUMIF('1 stopień 20_21'!G$9:G$773,D9,'1 stopień 20_21'!I$9:I$773)</f>
        <v>4</v>
      </c>
      <c r="G9" s="104">
        <f>SUMIFS('1 stopień 20_21'!$I$9:$I$773,'1 stopień 20_21'!$G$9:$G$773,D9,'1 stopień 20_21'!$K$9:$K$773,"CKZ Bielawa")</f>
        <v>0</v>
      </c>
      <c r="H9" s="104">
        <f>SUMIFS('1 stopień 20_21'!$I$9:$I$773,'1 stopień 20_21'!$G$9:$G$773,D9,'1 stopień 20_21'!$K$9:$K$773,"GCKZ Głogów")</f>
        <v>0</v>
      </c>
      <c r="I9" s="104">
        <f>SUMIFS('1 stopień 20_21'!$I$9:$I$773,'1 stopień 20_21'!$G$9:$G$773,D9,'1 stopień 20_21'!$K$9:$K$773,"CKZ Jawor")</f>
        <v>0</v>
      </c>
      <c r="J9" s="104">
        <f>SUMIFS('1 stopień 20_21'!$I$9:$I$773,'1 stopień 20_21'!$G$9:$G$773,D9,'1 stopień 20_21'!$K$9:$K$773,"JCKZ Jelenia Góra")</f>
        <v>0</v>
      </c>
      <c r="K9" s="104">
        <f>SUMIFS('1 stopień 20_21'!$I$9:$I$773,'1 stopień 20_21'!$G$9:$G$773,D9,'1 stopień 20_21'!$K$9:$K$773,"CKZ Kłodzko")</f>
        <v>0</v>
      </c>
      <c r="L9" s="104">
        <f>SUMIFS('1 stopień 20_21'!$I$9:$I$773,'1 stopień 20_21'!$G$9:$G$773,D9,'1 stopień 20_21'!$K$9:$K$773,"CKZ Legnica")</f>
        <v>0</v>
      </c>
      <c r="M9" s="104">
        <f>SUMIFS('1 stopień 20_21'!$I$9:$I$773,'1 stopień 20_21'!$G$9:$G$773,D9,'1 stopień 20_21'!$K$9:$K$773,"CKZ Oleśnica")</f>
        <v>0</v>
      </c>
      <c r="N9" s="104">
        <f>SUMIFS('1 stopień 20_21'!$I$9:$I$773,'1 stopień 20_21'!$G$9:$G$773,D9,'1 stopień 20_21'!$K$9:$K$773,"CKZ Świdnica")</f>
        <v>0</v>
      </c>
      <c r="O9" s="104">
        <f>SUMIFS('1 stopień 20_21'!$I$9:$I$773,'1 stopień 20_21'!$G$9:$G$773,D9,'1 stopień 20_21'!$K$9:$K$773,"CKZ Wołów")</f>
        <v>0</v>
      </c>
      <c r="P9" s="104">
        <f>SUMIFS('1 stopień 20_21'!$I$9:$I$773,'1 stopień 20_21'!$G$9:$G$773,D9,'1 stopień 20_21'!$K$9:$K$773,"CKZ Ziębice")</f>
        <v>0</v>
      </c>
      <c r="Q9" s="104">
        <f>SUMIFS('1 stopień 20_21'!$I$9:$I$773,'1 stopień 20_21'!$G$9:$G$773,D9,'1 stopień 20_21'!$K$9:$K$773,"CKZ Dobrodzień")</f>
        <v>0</v>
      </c>
      <c r="R9" s="104">
        <f>SUMIFS('1 stopień 20_21'!$I$9:$I$773,'1 stopień 20_21'!$G$9:$G$773,D9,'1 stopień 20_21'!$K$9:$K$773,"CKZ Głubczyce")</f>
        <v>0</v>
      </c>
      <c r="S9" s="104">
        <f>SUMIFS('1 stopień 20_21'!$I$9:$I$773,'1 stopień 20_21'!$G$9:$G$773,D9,'1 stopień 20_21'!$K$9:$K$773,"CKZ Kędzierzyn Kożle")</f>
        <v>0</v>
      </c>
      <c r="T9" s="104">
        <f>SUMIFS('1 stopień 20_21'!$I$9:$I$773,'1 stopień 20_21'!$G$9:$G$773,D9,'1 stopień 20_21'!$K$9:$K$773,"CKZ Kluczbork")</f>
        <v>0</v>
      </c>
      <c r="U9" s="104">
        <f>SUMIFS('1 stopień 20_21'!$I$9:$I$773,'1 stopień 20_21'!$G$9:$G$773,D9,'1 stopień 20_21'!$K$9:$K$773,"CKZ Krotoszyn")</f>
        <v>0</v>
      </c>
      <c r="V9" s="104">
        <f>SUMIFS('1 stopień 20_21'!$I$9:$I$773,'1 stopień 20_21'!$G$9:$G$773,D9,'1 stopień 20_21'!$K$9:$K$773,"CKZ Olkusz")</f>
        <v>0</v>
      </c>
      <c r="W9" s="104">
        <f>SUMIFS('1 stopień 20_21'!$I$9:$I$773,'1 stopień 20_21'!$G$9:$G$773,D9,'1 stopień 20_21'!$K$9:$K$773,"CKZ Wschowa")</f>
        <v>0</v>
      </c>
      <c r="X9" s="104">
        <f>SUMIFS('1 stopień 20_21'!$I$9:$I$773,'1 stopień 20_21'!$G$9:$G$773,D9,'1 stopień 20_21'!$K$9:$K$773,"CKZ Zielona Góra")</f>
        <v>4</v>
      </c>
      <c r="Y9" s="104">
        <f>SUMIFS('1 stopień 20_21'!$I$9:$I$773,'1 stopień 20_21'!$G$9:$G$773,D9,'1 stopień 20_21'!$K$9:$K$773,"Rzemieślnicza Wałbrzych")</f>
        <v>0</v>
      </c>
      <c r="Z9" s="104">
        <f>SUMIFS('1 stopień 20_21'!$I$9:$I$773,'1 stopień 20_21'!$G$9:$G$773,D9,'1 stopień 20_21'!$K$9:$K$773,"CKZ Mosina")</f>
        <v>0</v>
      </c>
      <c r="AA9" s="104">
        <f>SUMIFS('1 stopień 20_21'!$I$9:$I$773,'1 stopień 20_21'!$G$9:$G$773,D9,'1 stopień 20_21'!$K$9:$K$773,"CKZ Słupsk")</f>
        <v>0</v>
      </c>
      <c r="AB9" s="104">
        <f>SUMIFS('1 stopień 20_21'!$I$9:$I$773,'1 stopień 20_21'!$G$9:$G$773,D9,'1 stopień 20_21'!$K$9:$K$773,"Toyota")</f>
        <v>0</v>
      </c>
      <c r="AC9" s="104">
        <f>SUMIFS('1 stopień 20_21'!$I$9:$I$773,'1 stopień 20_21'!$G$9:$G$773,D9,'1 stopień 20_21'!$K$9:$K$773,"CKZ Wrocław")</f>
        <v>0</v>
      </c>
      <c r="AD9" s="104">
        <f>SUMIFS('1 stopień 20_21'!$I$9:$I$773,'1 stopień 20_21'!$G$9:$G$773,D9,'1 stopień 20_21'!$K$9:$K$773,"CKZ Opole")</f>
        <v>0</v>
      </c>
      <c r="AE9" s="104">
        <f>SUMIFS('1 stopień 20_21'!$I$9:$I$773,'1 stopień 20_21'!$G$9:$G$773,D9,'1 stopień 20_21'!$K$9:$K$773,"Chojnów")</f>
        <v>0</v>
      </c>
      <c r="AF9" s="104">
        <f>SUMIFS('1 stopień 20_21'!$I$9:$I$773,'1 stopień 20_21'!$G$9:$G$773,D9,'1 stopień 20_21'!$K$9:$K$773,"")</f>
        <v>0</v>
      </c>
      <c r="AG9" s="105">
        <f t="shared" si="0"/>
        <v>4</v>
      </c>
    </row>
    <row r="10" spans="1:33">
      <c r="B10" s="106" t="s">
        <v>595</v>
      </c>
      <c r="C10" s="107">
        <v>711301</v>
      </c>
      <c r="D10" s="107" t="s">
        <v>537</v>
      </c>
      <c r="E10" s="106" t="s">
        <v>676</v>
      </c>
      <c r="F10" s="103">
        <f>SUMIF('1 stopień 20_21'!G$9:G$773,D10,'1 stopień 20_21'!I$9:I$773)</f>
        <v>4</v>
      </c>
      <c r="G10" s="104">
        <f>SUMIFS('1 stopień 20_21'!$I$9:$I$773,'1 stopień 20_21'!$G$9:$G$773,D10,'1 stopień 20_21'!$K$9:$K$773,"CKZ Bielawa")</f>
        <v>0</v>
      </c>
      <c r="H10" s="104">
        <f>SUMIFS('1 stopień 20_21'!$I$9:$I$773,'1 stopień 20_21'!$G$9:$G$773,D10,'1 stopień 20_21'!$K$9:$K$773,"GCKZ Głogów")</f>
        <v>0</v>
      </c>
      <c r="I10" s="104">
        <f>SUMIFS('1 stopień 20_21'!$I$9:$I$773,'1 stopień 20_21'!$G$9:$G$773,D10,'1 stopień 20_21'!$K$9:$K$773,"CKZ Jawor")</f>
        <v>0</v>
      </c>
      <c r="J10" s="104">
        <f>SUMIFS('1 stopień 20_21'!$I$9:$I$773,'1 stopień 20_21'!$G$9:$G$773,D10,'1 stopień 20_21'!$K$9:$K$773,"JCKZ Jelenia Góra")</f>
        <v>0</v>
      </c>
      <c r="K10" s="104">
        <f>SUMIFS('1 stopień 20_21'!$I$9:$I$773,'1 stopień 20_21'!$G$9:$G$773,D10,'1 stopień 20_21'!$K$9:$K$773,"CKZ Kłodzko")</f>
        <v>0</v>
      </c>
      <c r="L10" s="104">
        <f>SUMIFS('1 stopień 20_21'!$I$9:$I$773,'1 stopień 20_21'!$G$9:$G$773,D10,'1 stopień 20_21'!$K$9:$K$773,"CKZ Legnica")</f>
        <v>0</v>
      </c>
      <c r="M10" s="104">
        <f>SUMIFS('1 stopień 20_21'!$I$9:$I$773,'1 stopień 20_21'!$G$9:$G$773,D10,'1 stopień 20_21'!$K$9:$K$773,"CKZ Oleśnica")</f>
        <v>0</v>
      </c>
      <c r="N10" s="104">
        <f>SUMIFS('1 stopień 20_21'!$I$9:$I$773,'1 stopień 20_21'!$G$9:$G$773,D10,'1 stopień 20_21'!$K$9:$K$773,"CKZ Świdnica")</f>
        <v>0</v>
      </c>
      <c r="O10" s="104">
        <f>SUMIFS('1 stopień 20_21'!$I$9:$I$773,'1 stopień 20_21'!$G$9:$G$773,D10,'1 stopień 20_21'!$K$9:$K$773,"CKZ Wołów")</f>
        <v>0</v>
      </c>
      <c r="P10" s="104">
        <f>SUMIFS('1 stopień 20_21'!$I$9:$I$773,'1 stopień 20_21'!$G$9:$G$773,D10,'1 stopień 20_21'!$K$9:$K$773,"CKZ Ziębice")</f>
        <v>0</v>
      </c>
      <c r="Q10" s="104">
        <f>SUMIFS('1 stopień 20_21'!$I$9:$I$773,'1 stopień 20_21'!$G$9:$G$773,D10,'1 stopień 20_21'!$K$9:$K$773,"CKZ Dobrodzień")</f>
        <v>0</v>
      </c>
      <c r="R10" s="104">
        <f>SUMIFS('1 stopień 20_21'!$I$9:$I$773,'1 stopień 20_21'!$G$9:$G$773,D10,'1 stopień 20_21'!$K$9:$K$773,"CKZ Głubczyce")</f>
        <v>0</v>
      </c>
      <c r="S10" s="104">
        <f>SUMIFS('1 stopień 20_21'!$I$9:$I$773,'1 stopień 20_21'!$G$9:$G$773,D10,'1 stopień 20_21'!$K$9:$K$773,"CKZ Kędzierzyn Kożle")</f>
        <v>0</v>
      </c>
      <c r="T10" s="104">
        <f>SUMIFS('1 stopień 20_21'!$I$9:$I$773,'1 stopień 20_21'!$G$9:$G$773,D10,'1 stopień 20_21'!$K$9:$K$773,"CKZ Kluczbork")</f>
        <v>0</v>
      </c>
      <c r="U10" s="104">
        <f>SUMIFS('1 stopień 20_21'!$I$9:$I$773,'1 stopień 20_21'!$G$9:$G$773,D10,'1 stopień 20_21'!$K$9:$K$773,"CKZ Krotoszyn")</f>
        <v>0</v>
      </c>
      <c r="V10" s="104">
        <f>SUMIFS('1 stopień 20_21'!$I$9:$I$773,'1 stopień 20_21'!$G$9:$G$773,D10,'1 stopień 20_21'!$K$9:$K$773,"CKZ Olkusz")</f>
        <v>0</v>
      </c>
      <c r="W10" s="104">
        <f>SUMIFS('1 stopień 20_21'!$I$9:$I$773,'1 stopień 20_21'!$G$9:$G$773,D10,'1 stopień 20_21'!$K$9:$K$773,"CKZ Wschowa")</f>
        <v>0</v>
      </c>
      <c r="X10" s="104">
        <f>SUMIFS('1 stopień 20_21'!$I$9:$I$773,'1 stopień 20_21'!$G$9:$G$773,D10,'1 stopień 20_21'!$K$9:$K$773,"CKZ Zielona Góra")</f>
        <v>4</v>
      </c>
      <c r="Y10" s="104">
        <f>SUMIFS('1 stopień 20_21'!$I$9:$I$773,'1 stopień 20_21'!$G$9:$G$773,D10,'1 stopień 20_21'!$K$9:$K$773,"Rzemieślnicza Wałbrzych")</f>
        <v>0</v>
      </c>
      <c r="Z10" s="104">
        <f>SUMIFS('1 stopień 20_21'!$I$9:$I$773,'1 stopień 20_21'!$G$9:$G$773,D10,'1 stopień 20_21'!$K$9:$K$773,"CKZ Mosina")</f>
        <v>0</v>
      </c>
      <c r="AA10" s="104">
        <f>SUMIFS('1 stopień 20_21'!$I$9:$I$773,'1 stopień 20_21'!$G$9:$G$773,D10,'1 stopień 20_21'!$K$9:$K$773,"CKZ Słupsk")</f>
        <v>0</v>
      </c>
      <c r="AB10" s="104">
        <f>SUMIFS('1 stopień 20_21'!$I$9:$I$773,'1 stopień 20_21'!$G$9:$G$773,D10,'1 stopień 20_21'!$K$9:$K$773,"Toyota")</f>
        <v>0</v>
      </c>
      <c r="AC10" s="104">
        <f>SUMIFS('1 stopień 20_21'!$I$9:$I$773,'1 stopień 20_21'!$G$9:$G$773,D10,'1 stopień 20_21'!$K$9:$K$773,"CKZ Wrocław")</f>
        <v>0</v>
      </c>
      <c r="AD10" s="104">
        <f>SUMIFS('1 stopień 20_21'!$I$9:$I$773,'1 stopień 20_21'!$G$9:$G$773,D10,'1 stopień 20_21'!$K$9:$K$773,"CKZ Opole")</f>
        <v>0</v>
      </c>
      <c r="AE10" s="104">
        <f>SUMIFS('1 stopień 20_21'!$I$9:$I$773,'1 stopień 20_21'!$G$9:$G$773,D10,'1 stopień 20_21'!$K$9:$K$773,"Chojnów")</f>
        <v>0</v>
      </c>
      <c r="AF10" s="104">
        <f>SUMIFS('1 stopień 20_21'!$I$9:$I$773,'1 stopień 20_21'!$G$9:$G$773,D10,'1 stopień 20_21'!$K$9:$K$773,"")</f>
        <v>0</v>
      </c>
      <c r="AG10" s="105">
        <f t="shared" si="0"/>
        <v>4</v>
      </c>
    </row>
    <row r="11" spans="1:33" ht="10.9" customHeight="1">
      <c r="B11" s="106" t="s">
        <v>596</v>
      </c>
      <c r="C11" s="107">
        <v>713303</v>
      </c>
      <c r="D11" s="107" t="s">
        <v>678</v>
      </c>
      <c r="E11" s="106" t="s">
        <v>677</v>
      </c>
      <c r="F11" s="103">
        <f>SUMIF('1 stopień 20_21'!G$9:G$773,D11,'1 stopień 20_21'!I$9:I$773)</f>
        <v>0</v>
      </c>
      <c r="G11" s="104">
        <f>SUMIFS('1 stopień 20_21'!$I$9:$I$773,'1 stopień 20_21'!$G$9:$G$773,D11,'1 stopień 20_21'!$K$9:$K$773,"CKZ Bielawa")</f>
        <v>0</v>
      </c>
      <c r="H11" s="104">
        <f>SUMIFS('1 stopień 20_21'!$I$9:$I$773,'1 stopień 20_21'!$G$9:$G$773,D11,'1 stopień 20_21'!$K$9:$K$773,"GCKZ Głogów")</f>
        <v>0</v>
      </c>
      <c r="I11" s="104">
        <f>SUMIFS('1 stopień 20_21'!$I$9:$I$773,'1 stopień 20_21'!$G$9:$G$773,D11,'1 stopień 20_21'!$K$9:$K$773,"CKZ Jawor")</f>
        <v>0</v>
      </c>
      <c r="J11" s="104">
        <f>SUMIFS('1 stopień 20_21'!$I$9:$I$773,'1 stopień 20_21'!$G$9:$G$773,D11,'1 stopień 20_21'!$K$9:$K$773,"JCKZ Jelenia Góra")</f>
        <v>0</v>
      </c>
      <c r="K11" s="104">
        <f>SUMIFS('1 stopień 20_21'!$I$9:$I$773,'1 stopień 20_21'!$G$9:$G$773,D11,'1 stopień 20_21'!$K$9:$K$773,"CKZ Kłodzko")</f>
        <v>0</v>
      </c>
      <c r="L11" s="104">
        <f>SUMIFS('1 stopień 20_21'!$I$9:$I$773,'1 stopień 20_21'!$G$9:$G$773,D11,'1 stopień 20_21'!$K$9:$K$773,"CKZ Legnica")</f>
        <v>0</v>
      </c>
      <c r="M11" s="104">
        <f>SUMIFS('1 stopień 20_21'!$I$9:$I$773,'1 stopień 20_21'!$G$9:$G$773,D11,'1 stopień 20_21'!$K$9:$K$773,"CKZ Oleśnica")</f>
        <v>0</v>
      </c>
      <c r="N11" s="104">
        <f>SUMIFS('1 stopień 20_21'!$I$9:$I$773,'1 stopień 20_21'!$G$9:$G$773,D11,'1 stopień 20_21'!$K$9:$K$773,"CKZ Świdnica")</f>
        <v>0</v>
      </c>
      <c r="O11" s="104">
        <f>SUMIFS('1 stopień 20_21'!$I$9:$I$773,'1 stopień 20_21'!$G$9:$G$773,D11,'1 stopień 20_21'!$K$9:$K$773,"CKZ Wołów")</f>
        <v>0</v>
      </c>
      <c r="P11" s="104">
        <f>SUMIFS('1 stopień 20_21'!$I$9:$I$773,'1 stopień 20_21'!$G$9:$G$773,D11,'1 stopień 20_21'!$K$9:$K$773,"CKZ Ziębice")</f>
        <v>0</v>
      </c>
      <c r="Q11" s="104">
        <f>SUMIFS('1 stopień 20_21'!$I$9:$I$773,'1 stopień 20_21'!$G$9:$G$773,D11,'1 stopień 20_21'!$K$9:$K$773,"CKZ Dobrodzień")</f>
        <v>0</v>
      </c>
      <c r="R11" s="104">
        <f>SUMIFS('1 stopień 20_21'!$I$9:$I$773,'1 stopień 20_21'!$G$9:$G$773,D11,'1 stopień 20_21'!$K$9:$K$773,"CKZ Głubczyce")</f>
        <v>0</v>
      </c>
      <c r="S11" s="104">
        <f>SUMIFS('1 stopień 20_21'!$I$9:$I$773,'1 stopień 20_21'!$G$9:$G$773,D11,'1 stopień 20_21'!$K$9:$K$773,"CKZ Kędzierzyn Kożle")</f>
        <v>0</v>
      </c>
      <c r="T11" s="104">
        <f>SUMIFS('1 stopień 20_21'!$I$9:$I$773,'1 stopień 20_21'!$G$9:$G$773,D11,'1 stopień 20_21'!$K$9:$K$773,"CKZ Kluczbork")</f>
        <v>0</v>
      </c>
      <c r="U11" s="104">
        <f>SUMIFS('1 stopień 20_21'!$I$9:$I$773,'1 stopień 20_21'!$G$9:$G$773,D11,'1 stopień 20_21'!$K$9:$K$773,"CKZ Krotoszyn")</f>
        <v>0</v>
      </c>
      <c r="V11" s="104">
        <f>SUMIFS('1 stopień 20_21'!$I$9:$I$773,'1 stopień 20_21'!$G$9:$G$773,D11,'1 stopień 20_21'!$K$9:$K$773,"CKZ Olkusz")</f>
        <v>0</v>
      </c>
      <c r="W11" s="104">
        <f>SUMIFS('1 stopień 20_21'!$I$9:$I$773,'1 stopień 20_21'!$G$9:$G$773,D11,'1 stopień 20_21'!$K$9:$K$773,"CKZ Wschowa")</f>
        <v>0</v>
      </c>
      <c r="X11" s="104">
        <f>SUMIFS('1 stopień 20_21'!$I$9:$I$773,'1 stopień 20_21'!$G$9:$G$773,D11,'1 stopień 20_21'!$K$9:$K$773,"CKZ Zielona Góra")</f>
        <v>0</v>
      </c>
      <c r="Y11" s="104">
        <f>SUMIFS('1 stopień 20_21'!$I$9:$I$773,'1 stopień 20_21'!$G$9:$G$773,D11,'1 stopień 20_21'!$K$9:$K$773,"Rzemieślnicza Wałbrzych")</f>
        <v>0</v>
      </c>
      <c r="Z11" s="104">
        <f>SUMIFS('1 stopień 20_21'!$I$9:$I$773,'1 stopień 20_21'!$G$9:$G$773,D11,'1 stopień 20_21'!$K$9:$K$773,"CKZ Mosina")</f>
        <v>0</v>
      </c>
      <c r="AA11" s="104">
        <f>SUMIFS('1 stopień 20_21'!$I$9:$I$773,'1 stopień 20_21'!$G$9:$G$773,D11,'1 stopień 20_21'!$K$9:$K$773,"CKZ Słupsk")</f>
        <v>0</v>
      </c>
      <c r="AB11" s="104">
        <f>SUMIFS('1 stopień 20_21'!$I$9:$I$773,'1 stopień 20_21'!$G$9:$G$773,D11,'1 stopień 20_21'!$K$9:$K$773,"Toyota")</f>
        <v>0</v>
      </c>
      <c r="AC11" s="104">
        <f>SUMIFS('1 stopień 20_21'!$I$9:$I$773,'1 stopień 20_21'!$G$9:$G$773,D11,'1 stopień 20_21'!$K$9:$K$773,"CKZ Wrocław")</f>
        <v>0</v>
      </c>
      <c r="AD11" s="104">
        <f>SUMIFS('1 stopień 20_21'!$I$9:$I$773,'1 stopień 20_21'!$G$9:$G$773,D11,'1 stopień 20_21'!$K$9:$K$773,"CKZ Opole")</f>
        <v>0</v>
      </c>
      <c r="AE11" s="104">
        <f>SUMIFS('1 stopień 20_21'!$I$9:$I$773,'1 stopień 20_21'!$G$9:$G$773,D11,'1 stopień 20_21'!$K$9:$K$773,"Chojnów")</f>
        <v>0</v>
      </c>
      <c r="AF11" s="104">
        <f>SUMIFS('1 stopień 20_21'!$I$9:$I$773,'1 stopień 20_21'!$G$9:$G$773,D11,'1 stopień 20_21'!$K$9:$K$773,"")</f>
        <v>0</v>
      </c>
      <c r="AG11" s="105">
        <f t="shared" si="0"/>
        <v>0</v>
      </c>
    </row>
    <row r="12" spans="1:33">
      <c r="B12" s="106" t="s">
        <v>597</v>
      </c>
      <c r="C12" s="107">
        <v>712401</v>
      </c>
      <c r="D12" s="107" t="s">
        <v>680</v>
      </c>
      <c r="E12" s="106" t="s">
        <v>679</v>
      </c>
      <c r="F12" s="103">
        <f>SUMIF('1 stopień 20_21'!G$9:G$773,D12,'1 stopień 20_21'!I$9:I$773)</f>
        <v>0</v>
      </c>
      <c r="G12" s="104">
        <f>SUMIFS('1 stopień 20_21'!$I$9:$I$773,'1 stopień 20_21'!$G$9:$G$773,D12,'1 stopień 20_21'!$K$9:$K$773,"CKZ Bielawa")</f>
        <v>0</v>
      </c>
      <c r="H12" s="104">
        <f>SUMIFS('1 stopień 20_21'!$I$9:$I$773,'1 stopień 20_21'!$G$9:$G$773,D12,'1 stopień 20_21'!$K$9:$K$773,"GCKZ Głogów")</f>
        <v>0</v>
      </c>
      <c r="I12" s="104">
        <f>SUMIFS('1 stopień 20_21'!$I$9:$I$773,'1 stopień 20_21'!$G$9:$G$773,D12,'1 stopień 20_21'!$K$9:$K$773,"CKZ Jawor")</f>
        <v>0</v>
      </c>
      <c r="J12" s="104">
        <f>SUMIFS('1 stopień 20_21'!$I$9:$I$773,'1 stopień 20_21'!$G$9:$G$773,D12,'1 stopień 20_21'!$K$9:$K$773,"JCKZ Jelenia Góra")</f>
        <v>0</v>
      </c>
      <c r="K12" s="104">
        <f>SUMIFS('1 stopień 20_21'!$I$9:$I$773,'1 stopień 20_21'!$G$9:$G$773,D12,'1 stopień 20_21'!$K$9:$K$773,"CKZ Kłodzko")</f>
        <v>0</v>
      </c>
      <c r="L12" s="104">
        <f>SUMIFS('1 stopień 20_21'!$I$9:$I$773,'1 stopień 20_21'!$G$9:$G$773,D12,'1 stopień 20_21'!$K$9:$K$773,"CKZ Legnica")</f>
        <v>0</v>
      </c>
      <c r="M12" s="104">
        <f>SUMIFS('1 stopień 20_21'!$I$9:$I$773,'1 stopień 20_21'!$G$9:$G$773,D12,'1 stopień 20_21'!$K$9:$K$773,"CKZ Oleśnica")</f>
        <v>0</v>
      </c>
      <c r="N12" s="104">
        <f>SUMIFS('1 stopień 20_21'!$I$9:$I$773,'1 stopień 20_21'!$G$9:$G$773,D12,'1 stopień 20_21'!$K$9:$K$773,"CKZ Świdnica")</f>
        <v>0</v>
      </c>
      <c r="O12" s="104">
        <f>SUMIFS('1 stopień 20_21'!$I$9:$I$773,'1 stopień 20_21'!$G$9:$G$773,D12,'1 stopień 20_21'!$K$9:$K$773,"CKZ Wołów")</f>
        <v>0</v>
      </c>
      <c r="P12" s="104">
        <f>SUMIFS('1 stopień 20_21'!$I$9:$I$773,'1 stopień 20_21'!$G$9:$G$773,D12,'1 stopień 20_21'!$K$9:$K$773,"CKZ Ziębice")</f>
        <v>0</v>
      </c>
      <c r="Q12" s="104">
        <f>SUMIFS('1 stopień 20_21'!$I$9:$I$773,'1 stopień 20_21'!$G$9:$G$773,D12,'1 stopień 20_21'!$K$9:$K$773,"CKZ Dobrodzień")</f>
        <v>0</v>
      </c>
      <c r="R12" s="104">
        <f>SUMIFS('1 stopień 20_21'!$I$9:$I$773,'1 stopień 20_21'!$G$9:$G$773,D12,'1 stopień 20_21'!$K$9:$K$773,"CKZ Głubczyce")</f>
        <v>0</v>
      </c>
      <c r="S12" s="104">
        <f>SUMIFS('1 stopień 20_21'!$I$9:$I$773,'1 stopień 20_21'!$G$9:$G$773,D12,'1 stopień 20_21'!$K$9:$K$773,"CKZ Kędzierzyn Kożle")</f>
        <v>0</v>
      </c>
      <c r="T12" s="104">
        <f>SUMIFS('1 stopień 20_21'!$I$9:$I$773,'1 stopień 20_21'!$G$9:$G$773,D12,'1 stopień 20_21'!$K$9:$K$773,"CKZ Kluczbork")</f>
        <v>0</v>
      </c>
      <c r="U12" s="104">
        <f>SUMIFS('1 stopień 20_21'!$I$9:$I$773,'1 stopień 20_21'!$G$9:$G$773,D12,'1 stopień 20_21'!$K$9:$K$773,"CKZ Krotoszyn")</f>
        <v>0</v>
      </c>
      <c r="V12" s="104">
        <f>SUMIFS('1 stopień 20_21'!$I$9:$I$773,'1 stopień 20_21'!$G$9:$G$773,D12,'1 stopień 20_21'!$K$9:$K$773,"CKZ Olkusz")</f>
        <v>0</v>
      </c>
      <c r="W12" s="104">
        <f>SUMIFS('1 stopień 20_21'!$I$9:$I$773,'1 stopień 20_21'!$G$9:$G$773,D12,'1 stopień 20_21'!$K$9:$K$773,"CKZ Wschowa")</f>
        <v>0</v>
      </c>
      <c r="X12" s="104">
        <f>SUMIFS('1 stopień 20_21'!$I$9:$I$773,'1 stopień 20_21'!$G$9:$G$773,D12,'1 stopień 20_21'!$K$9:$K$773,"CKZ Zielona Góra")</f>
        <v>0</v>
      </c>
      <c r="Y12" s="104">
        <f>SUMIFS('1 stopień 20_21'!$I$9:$I$773,'1 stopień 20_21'!$G$9:$G$773,D12,'1 stopień 20_21'!$K$9:$K$773,"Rzemieślnicza Wałbrzych")</f>
        <v>0</v>
      </c>
      <c r="Z12" s="104">
        <f>SUMIFS('1 stopień 20_21'!$I$9:$I$773,'1 stopień 20_21'!$G$9:$G$773,D12,'1 stopień 20_21'!$K$9:$K$773,"CKZ Mosina")</f>
        <v>0</v>
      </c>
      <c r="AA12" s="104">
        <f>SUMIFS('1 stopień 20_21'!$I$9:$I$773,'1 stopień 20_21'!$G$9:$G$773,D12,'1 stopień 20_21'!$K$9:$K$773,"CKZ Słupsk")</f>
        <v>0</v>
      </c>
      <c r="AB12" s="104">
        <f>SUMIFS('1 stopień 20_21'!$I$9:$I$773,'1 stopień 20_21'!$G$9:$G$773,D12,'1 stopień 20_21'!$K$9:$K$773,"Toyota")</f>
        <v>0</v>
      </c>
      <c r="AC12" s="104">
        <f>SUMIFS('1 stopień 20_21'!$I$9:$I$773,'1 stopień 20_21'!$G$9:$G$773,D12,'1 stopień 20_21'!$K$9:$K$773,"CKZ Wrocław")</f>
        <v>0</v>
      </c>
      <c r="AD12" s="104">
        <f>SUMIFS('1 stopień 20_21'!$I$9:$I$773,'1 stopień 20_21'!$G$9:$G$773,D12,'1 stopień 20_21'!$K$9:$K$773,"CKZ Opole")</f>
        <v>0</v>
      </c>
      <c r="AE12" s="104">
        <f>SUMIFS('1 stopień 20_21'!$I$9:$I$773,'1 stopień 20_21'!$G$9:$G$773,D12,'1 stopień 20_21'!$K$9:$K$773,"Chojnów")</f>
        <v>0</v>
      </c>
      <c r="AF12" s="104">
        <f>SUMIFS('1 stopień 20_21'!$I$9:$I$773,'1 stopień 20_21'!$G$9:$G$773,D12,'1 stopień 20_21'!$K$9:$K$773,"")</f>
        <v>0</v>
      </c>
      <c r="AG12" s="105">
        <f t="shared" si="0"/>
        <v>0</v>
      </c>
    </row>
    <row r="13" spans="1:33" ht="16.149999999999999" customHeight="1">
      <c r="B13" s="106" t="s">
        <v>598</v>
      </c>
      <c r="C13" s="107">
        <v>712403</v>
      </c>
      <c r="D13" s="107" t="s">
        <v>682</v>
      </c>
      <c r="E13" s="106" t="s">
        <v>681</v>
      </c>
      <c r="F13" s="103">
        <f>SUMIF('1 stopień 20_21'!G$9:G$773,D13,'1 stopień 20_21'!I$9:I$773)</f>
        <v>0</v>
      </c>
      <c r="G13" s="104">
        <f>SUMIFS('1 stopień 20_21'!$I$9:$I$773,'1 stopień 20_21'!$G$9:$G$773,D13,'1 stopień 20_21'!$K$9:$K$773,"CKZ Bielawa")</f>
        <v>0</v>
      </c>
      <c r="H13" s="104">
        <f>SUMIFS('1 stopień 20_21'!$I$9:$I$773,'1 stopień 20_21'!$G$9:$G$773,D13,'1 stopień 20_21'!$K$9:$K$773,"GCKZ Głogów")</f>
        <v>0</v>
      </c>
      <c r="I13" s="104">
        <f>SUMIFS('1 stopień 20_21'!$I$9:$I$773,'1 stopień 20_21'!$G$9:$G$773,D13,'1 stopień 20_21'!$K$9:$K$773,"CKZ Jawor")</f>
        <v>0</v>
      </c>
      <c r="J13" s="104">
        <f>SUMIFS('1 stopień 20_21'!$I$9:$I$773,'1 stopień 20_21'!$G$9:$G$773,D13,'1 stopień 20_21'!$K$9:$K$773,"JCKZ Jelenia Góra")</f>
        <v>0</v>
      </c>
      <c r="K13" s="104">
        <f>SUMIFS('1 stopień 20_21'!$I$9:$I$773,'1 stopień 20_21'!$G$9:$G$773,D13,'1 stopień 20_21'!$K$9:$K$773,"CKZ Kłodzko")</f>
        <v>0</v>
      </c>
      <c r="L13" s="104">
        <f>SUMIFS('1 stopień 20_21'!$I$9:$I$773,'1 stopień 20_21'!$G$9:$G$773,D13,'1 stopień 20_21'!$K$9:$K$773,"CKZ Legnica")</f>
        <v>0</v>
      </c>
      <c r="M13" s="104">
        <f>SUMIFS('1 stopień 20_21'!$I$9:$I$773,'1 stopień 20_21'!$G$9:$G$773,D13,'1 stopień 20_21'!$K$9:$K$773,"CKZ Oleśnica")</f>
        <v>0</v>
      </c>
      <c r="N13" s="104">
        <f>SUMIFS('1 stopień 20_21'!$I$9:$I$773,'1 stopień 20_21'!$G$9:$G$773,D13,'1 stopień 20_21'!$K$9:$K$773,"CKZ Świdnica")</f>
        <v>0</v>
      </c>
      <c r="O13" s="104">
        <f>SUMIFS('1 stopień 20_21'!$I$9:$I$773,'1 stopień 20_21'!$G$9:$G$773,D13,'1 stopień 20_21'!$K$9:$K$773,"CKZ Wołów")</f>
        <v>0</v>
      </c>
      <c r="P13" s="104">
        <f>SUMIFS('1 stopień 20_21'!$I$9:$I$773,'1 stopień 20_21'!$G$9:$G$773,D13,'1 stopień 20_21'!$K$9:$K$773,"CKZ Ziębice")</f>
        <v>0</v>
      </c>
      <c r="Q13" s="104">
        <f>SUMIFS('1 stopień 20_21'!$I$9:$I$773,'1 stopień 20_21'!$G$9:$G$773,D13,'1 stopień 20_21'!$K$9:$K$773,"CKZ Dobrodzień")</f>
        <v>0</v>
      </c>
      <c r="R13" s="104">
        <f>SUMIFS('1 stopień 20_21'!$I$9:$I$773,'1 stopień 20_21'!$G$9:$G$773,D13,'1 stopień 20_21'!$K$9:$K$773,"CKZ Głubczyce")</f>
        <v>0</v>
      </c>
      <c r="S13" s="104">
        <f>SUMIFS('1 stopień 20_21'!$I$9:$I$773,'1 stopień 20_21'!$G$9:$G$773,D13,'1 stopień 20_21'!$K$9:$K$773,"CKZ Kędzierzyn Kożle")</f>
        <v>0</v>
      </c>
      <c r="T13" s="104">
        <f>SUMIFS('1 stopień 20_21'!$I$9:$I$773,'1 stopień 20_21'!$G$9:$G$773,D13,'1 stopień 20_21'!$K$9:$K$773,"CKZ Kluczbork")</f>
        <v>0</v>
      </c>
      <c r="U13" s="104">
        <f>SUMIFS('1 stopień 20_21'!$I$9:$I$773,'1 stopień 20_21'!$G$9:$G$773,D13,'1 stopień 20_21'!$K$9:$K$773,"CKZ Krotoszyn")</f>
        <v>0</v>
      </c>
      <c r="V13" s="104">
        <f>SUMIFS('1 stopień 20_21'!$I$9:$I$773,'1 stopień 20_21'!$G$9:$G$773,D13,'1 stopień 20_21'!$K$9:$K$773,"CKZ Olkusz")</f>
        <v>0</v>
      </c>
      <c r="W13" s="104">
        <f>SUMIFS('1 stopień 20_21'!$I$9:$I$773,'1 stopień 20_21'!$G$9:$G$773,D13,'1 stopień 20_21'!$K$9:$K$773,"CKZ Wschowa")</f>
        <v>0</v>
      </c>
      <c r="X13" s="104">
        <f>SUMIFS('1 stopień 20_21'!$I$9:$I$773,'1 stopień 20_21'!$G$9:$G$773,D13,'1 stopień 20_21'!$K$9:$K$773,"CKZ Zielona Góra")</f>
        <v>0</v>
      </c>
      <c r="Y13" s="104">
        <f>SUMIFS('1 stopień 20_21'!$I$9:$I$773,'1 stopień 20_21'!$G$9:$G$773,D13,'1 stopień 20_21'!$K$9:$K$773,"Rzemieślnicza Wałbrzych")</f>
        <v>0</v>
      </c>
      <c r="Z13" s="104">
        <f>SUMIFS('1 stopień 20_21'!$I$9:$I$773,'1 stopień 20_21'!$G$9:$G$773,D13,'1 stopień 20_21'!$K$9:$K$773,"CKZ Mosina")</f>
        <v>0</v>
      </c>
      <c r="AA13" s="104">
        <f>SUMIFS('1 stopień 20_21'!$I$9:$I$773,'1 stopień 20_21'!$G$9:$G$773,D13,'1 stopień 20_21'!$K$9:$K$773,"CKZ Słupsk")</f>
        <v>0</v>
      </c>
      <c r="AB13" s="104">
        <f>SUMIFS('1 stopień 20_21'!$I$9:$I$773,'1 stopień 20_21'!$G$9:$G$773,D13,'1 stopień 20_21'!$K$9:$K$773,"Toyota")</f>
        <v>0</v>
      </c>
      <c r="AC13" s="104">
        <f>SUMIFS('1 stopień 20_21'!$I$9:$I$773,'1 stopień 20_21'!$G$9:$G$773,D13,'1 stopień 20_21'!$K$9:$K$773,"CKZ Wrocław")</f>
        <v>0</v>
      </c>
      <c r="AD13" s="104">
        <f>SUMIFS('1 stopień 20_21'!$I$9:$I$773,'1 stopień 20_21'!$G$9:$G$773,D13,'1 stopień 20_21'!$K$9:$K$773,"CKZ Opole")</f>
        <v>0</v>
      </c>
      <c r="AE13" s="104">
        <f>SUMIFS('1 stopień 20_21'!$I$9:$I$773,'1 stopień 20_21'!$G$9:$G$773,D13,'1 stopień 20_21'!$K$9:$K$773,"Chojnów")</f>
        <v>0</v>
      </c>
      <c r="AF13" s="104">
        <f>SUMIFS('1 stopień 20_21'!$I$9:$I$773,'1 stopień 20_21'!$G$9:$G$773,D13,'1 stopień 20_21'!$K$9:$K$773,"")</f>
        <v>0</v>
      </c>
      <c r="AG13" s="105">
        <f t="shared" si="0"/>
        <v>0</v>
      </c>
    </row>
    <row r="14" spans="1:33">
      <c r="B14" s="106" t="s">
        <v>599</v>
      </c>
      <c r="C14" s="107">
        <v>711102</v>
      </c>
      <c r="D14" s="107" t="s">
        <v>684</v>
      </c>
      <c r="E14" s="106" t="s">
        <v>683</v>
      </c>
      <c r="F14" s="103">
        <f>SUMIF('1 stopień 20_21'!G$9:G$773,D14,'1 stopień 20_21'!I$9:I$773)</f>
        <v>0</v>
      </c>
      <c r="G14" s="104">
        <f>SUMIFS('1 stopień 20_21'!$I$9:$I$773,'1 stopień 20_21'!$G$9:$G$773,D14,'1 stopień 20_21'!$K$9:$K$773,"CKZ Bielawa")</f>
        <v>0</v>
      </c>
      <c r="H14" s="104">
        <f>SUMIFS('1 stopień 20_21'!$I$9:$I$773,'1 stopień 20_21'!$G$9:$G$773,D14,'1 stopień 20_21'!$K$9:$K$773,"GCKZ Głogów")</f>
        <v>0</v>
      </c>
      <c r="I14" s="104">
        <f>SUMIFS('1 stopień 20_21'!$I$9:$I$773,'1 stopień 20_21'!$G$9:$G$773,D14,'1 stopień 20_21'!$K$9:$K$773,"CKZ Jawor")</f>
        <v>0</v>
      </c>
      <c r="J14" s="104">
        <f>SUMIFS('1 stopień 20_21'!$I$9:$I$773,'1 stopień 20_21'!$G$9:$G$773,D14,'1 stopień 20_21'!$K$9:$K$773,"JCKZ Jelenia Góra")</f>
        <v>0</v>
      </c>
      <c r="K14" s="104">
        <f>SUMIFS('1 stopień 20_21'!$I$9:$I$773,'1 stopień 20_21'!$G$9:$G$773,D14,'1 stopień 20_21'!$K$9:$K$773,"CKZ Kłodzko")</f>
        <v>0</v>
      </c>
      <c r="L14" s="104">
        <f>SUMIFS('1 stopień 20_21'!$I$9:$I$773,'1 stopień 20_21'!$G$9:$G$773,D14,'1 stopień 20_21'!$K$9:$K$773,"CKZ Legnica")</f>
        <v>0</v>
      </c>
      <c r="M14" s="104">
        <f>SUMIFS('1 stopień 20_21'!$I$9:$I$773,'1 stopień 20_21'!$G$9:$G$773,D14,'1 stopień 20_21'!$K$9:$K$773,"CKZ Oleśnica")</f>
        <v>0</v>
      </c>
      <c r="N14" s="104">
        <f>SUMIFS('1 stopień 20_21'!$I$9:$I$773,'1 stopień 20_21'!$G$9:$G$773,D14,'1 stopień 20_21'!$K$9:$K$773,"CKZ Świdnica")</f>
        <v>0</v>
      </c>
      <c r="O14" s="104">
        <f>SUMIFS('1 stopień 20_21'!$I$9:$I$773,'1 stopień 20_21'!$G$9:$G$773,D14,'1 stopień 20_21'!$K$9:$K$773,"CKZ Wołów")</f>
        <v>0</v>
      </c>
      <c r="P14" s="104">
        <f>SUMIFS('1 stopień 20_21'!$I$9:$I$773,'1 stopień 20_21'!$G$9:$G$773,D14,'1 stopień 20_21'!$K$9:$K$773,"CKZ Ziębice")</f>
        <v>0</v>
      </c>
      <c r="Q14" s="104">
        <f>SUMIFS('1 stopień 20_21'!$I$9:$I$773,'1 stopień 20_21'!$G$9:$G$773,D14,'1 stopień 20_21'!$K$9:$K$773,"CKZ Dobrodzień")</f>
        <v>0</v>
      </c>
      <c r="R14" s="104">
        <f>SUMIFS('1 stopień 20_21'!$I$9:$I$773,'1 stopień 20_21'!$G$9:$G$773,D14,'1 stopień 20_21'!$K$9:$K$773,"CKZ Głubczyce")</f>
        <v>0</v>
      </c>
      <c r="S14" s="104">
        <f>SUMIFS('1 stopień 20_21'!$I$9:$I$773,'1 stopień 20_21'!$G$9:$G$773,D14,'1 stopień 20_21'!$K$9:$K$773,"CKZ Kędzierzyn Kożle")</f>
        <v>0</v>
      </c>
      <c r="T14" s="104">
        <f>SUMIFS('1 stopień 20_21'!$I$9:$I$773,'1 stopień 20_21'!$G$9:$G$773,D14,'1 stopień 20_21'!$K$9:$K$773,"CKZ Kluczbork")</f>
        <v>0</v>
      </c>
      <c r="U14" s="104">
        <f>SUMIFS('1 stopień 20_21'!$I$9:$I$773,'1 stopień 20_21'!$G$9:$G$773,D14,'1 stopień 20_21'!$K$9:$K$773,"CKZ Krotoszyn")</f>
        <v>0</v>
      </c>
      <c r="V14" s="104">
        <f>SUMIFS('1 stopień 20_21'!$I$9:$I$773,'1 stopień 20_21'!$G$9:$G$773,D14,'1 stopień 20_21'!$K$9:$K$773,"CKZ Olkusz")</f>
        <v>0</v>
      </c>
      <c r="W14" s="104">
        <f>SUMIFS('1 stopień 20_21'!$I$9:$I$773,'1 stopień 20_21'!$G$9:$G$773,D14,'1 stopień 20_21'!$K$9:$K$773,"CKZ Wschowa")</f>
        <v>0</v>
      </c>
      <c r="X14" s="104">
        <f>SUMIFS('1 stopień 20_21'!$I$9:$I$773,'1 stopień 20_21'!$G$9:$G$773,D14,'1 stopień 20_21'!$K$9:$K$773,"CKZ Zielona Góra")</f>
        <v>0</v>
      </c>
      <c r="Y14" s="104">
        <f>SUMIFS('1 stopień 20_21'!$I$9:$I$773,'1 stopień 20_21'!$G$9:$G$773,D14,'1 stopień 20_21'!$K$9:$K$773,"Rzemieślnicza Wałbrzych")</f>
        <v>0</v>
      </c>
      <c r="Z14" s="104">
        <f>SUMIFS('1 stopień 20_21'!$I$9:$I$773,'1 stopień 20_21'!$G$9:$G$773,D14,'1 stopień 20_21'!$K$9:$K$773,"CKZ Mosina")</f>
        <v>0</v>
      </c>
      <c r="AA14" s="104">
        <f>SUMIFS('1 stopień 20_21'!$I$9:$I$773,'1 stopień 20_21'!$G$9:$G$773,D14,'1 stopień 20_21'!$K$9:$K$773,"CKZ Słupsk")</f>
        <v>0</v>
      </c>
      <c r="AB14" s="104">
        <f>SUMIFS('1 stopień 20_21'!$I$9:$I$773,'1 stopień 20_21'!$G$9:$G$773,D14,'1 stopień 20_21'!$K$9:$K$773,"Toyota")</f>
        <v>0</v>
      </c>
      <c r="AC14" s="104">
        <f>SUMIFS('1 stopień 20_21'!$I$9:$I$773,'1 stopień 20_21'!$G$9:$G$773,D14,'1 stopień 20_21'!$K$9:$K$773,"CKZ Wrocław")</f>
        <v>0</v>
      </c>
      <c r="AD14" s="104">
        <f>SUMIFS('1 stopień 20_21'!$I$9:$I$773,'1 stopień 20_21'!$G$9:$G$773,D14,'1 stopień 20_21'!$K$9:$K$773,"CKZ Opole")</f>
        <v>0</v>
      </c>
      <c r="AE14" s="104">
        <f>SUMIFS('1 stopień 20_21'!$I$9:$I$773,'1 stopień 20_21'!$G$9:$G$773,D14,'1 stopień 20_21'!$K$9:$K$773,"Chojnów")</f>
        <v>0</v>
      </c>
      <c r="AF14" s="104">
        <f>SUMIFS('1 stopień 20_21'!$I$9:$I$773,'1 stopień 20_21'!$G$9:$G$773,D14,'1 stopień 20_21'!$K$9:$K$773,"")</f>
        <v>0</v>
      </c>
      <c r="AG14" s="105">
        <f t="shared" si="0"/>
        <v>0</v>
      </c>
    </row>
    <row r="15" spans="1:33">
      <c r="B15" s="106" t="s">
        <v>144</v>
      </c>
      <c r="C15" s="107">
        <v>712618</v>
      </c>
      <c r="D15" s="107" t="s">
        <v>86</v>
      </c>
      <c r="E15" s="106" t="s">
        <v>685</v>
      </c>
      <c r="F15" s="103">
        <f>SUMIF('1 stopień 20_21'!G$9:G$773,D15,'1 stopień 20_21'!I$9:I$773)</f>
        <v>59</v>
      </c>
      <c r="G15" s="104">
        <f>SUMIFS('1 stopień 20_21'!$I$9:$I$773,'1 stopień 20_21'!$G$9:$G$773,D15,'1 stopień 20_21'!$K$9:$K$773,"CKZ Bielawa")</f>
        <v>0</v>
      </c>
      <c r="H15" s="104">
        <f>SUMIFS('1 stopień 20_21'!$I$9:$I$773,'1 stopień 20_21'!$G$9:$G$773,D15,'1 stopień 20_21'!$K$9:$K$773,"GCKZ Głogów")</f>
        <v>0</v>
      </c>
      <c r="I15" s="104">
        <f>SUMIFS('1 stopień 20_21'!$I$9:$I$773,'1 stopień 20_21'!$G$9:$G$773,D15,'1 stopień 20_21'!$K$9:$K$773,"CKZ Jawor")</f>
        <v>0</v>
      </c>
      <c r="J15" s="104">
        <f>SUMIFS('1 stopień 20_21'!$I$9:$I$773,'1 stopień 20_21'!$G$9:$G$773,D15,'1 stopień 20_21'!$K$9:$K$773,"JCKZ Jelenia Góra")</f>
        <v>0</v>
      </c>
      <c r="K15" s="104">
        <f>SUMIFS('1 stopień 20_21'!$I$9:$I$773,'1 stopień 20_21'!$G$9:$G$773,D15,'1 stopień 20_21'!$K$9:$K$773,"CKZ Kłodzko")</f>
        <v>0</v>
      </c>
      <c r="L15" s="104">
        <f>SUMIFS('1 stopień 20_21'!$I$9:$I$773,'1 stopień 20_21'!$G$9:$G$773,D15,'1 stopień 20_21'!$K$9:$K$773,"CKZ Legnica")</f>
        <v>0</v>
      </c>
      <c r="M15" s="104">
        <f>SUMIFS('1 stopień 20_21'!$I$9:$I$773,'1 stopień 20_21'!$G$9:$G$773,D15,'1 stopień 20_21'!$K$9:$K$773,"CKZ Oleśnica")</f>
        <v>24</v>
      </c>
      <c r="N15" s="104">
        <f>SUMIFS('1 stopień 20_21'!$I$9:$I$773,'1 stopień 20_21'!$G$9:$G$773,D15,'1 stopień 20_21'!$K$9:$K$773,"CKZ Świdnica")</f>
        <v>28</v>
      </c>
      <c r="O15" s="104">
        <f>SUMIFS('1 stopień 20_21'!$I$9:$I$773,'1 stopień 20_21'!$G$9:$G$773,D15,'1 stopień 20_21'!$K$9:$K$773,"CKZ Wołów")</f>
        <v>0</v>
      </c>
      <c r="P15" s="104">
        <f>SUMIFS('1 stopień 20_21'!$I$9:$I$773,'1 stopień 20_21'!$G$9:$G$773,D15,'1 stopień 20_21'!$K$9:$K$773,"CKZ Ziębice")</f>
        <v>0</v>
      </c>
      <c r="Q15" s="104">
        <f>SUMIFS('1 stopień 20_21'!$I$9:$I$773,'1 stopień 20_21'!$G$9:$G$773,D15,'1 stopień 20_21'!$K$9:$K$773,"CKZ Dobrodzień")</f>
        <v>0</v>
      </c>
      <c r="R15" s="104">
        <f>SUMIFS('1 stopień 20_21'!$I$9:$I$773,'1 stopień 20_21'!$G$9:$G$773,D15,'1 stopień 20_21'!$K$9:$K$773,"CKZ Głubczyce")</f>
        <v>0</v>
      </c>
      <c r="S15" s="104">
        <f>SUMIFS('1 stopień 20_21'!$I$9:$I$773,'1 stopień 20_21'!$G$9:$G$773,D15,'1 stopień 20_21'!$K$9:$K$773,"CKZ Kędzierzyn Kożle")</f>
        <v>0</v>
      </c>
      <c r="T15" s="104">
        <f>SUMIFS('1 stopień 20_21'!$I$9:$I$773,'1 stopień 20_21'!$G$9:$G$773,D15,'1 stopień 20_21'!$K$9:$K$773,"CKZ Kluczbork")</f>
        <v>0</v>
      </c>
      <c r="U15" s="104">
        <f>SUMIFS('1 stopień 20_21'!$I$9:$I$773,'1 stopień 20_21'!$G$9:$G$773,D15,'1 stopień 20_21'!$K$9:$K$773,"CKZ Krotoszyn")</f>
        <v>0</v>
      </c>
      <c r="V15" s="104">
        <f>SUMIFS('1 stopień 20_21'!$I$9:$I$773,'1 stopień 20_21'!$G$9:$G$773,D15,'1 stopień 20_21'!$K$9:$K$773,"CKZ Olkusz")</f>
        <v>0</v>
      </c>
      <c r="W15" s="104">
        <f>SUMIFS('1 stopień 20_21'!$I$9:$I$773,'1 stopień 20_21'!$G$9:$G$773,D15,'1 stopień 20_21'!$K$9:$K$773,"CKZ Wschowa")</f>
        <v>4</v>
      </c>
      <c r="X15" s="104">
        <f>SUMIFS('1 stopień 20_21'!$I$9:$I$773,'1 stopień 20_21'!$G$9:$G$773,D15,'1 stopień 20_21'!$K$9:$K$773,"CKZ Zielona Góra")</f>
        <v>3</v>
      </c>
      <c r="Y15" s="104">
        <f>SUMIFS('1 stopień 20_21'!$I$9:$I$773,'1 stopień 20_21'!$G$9:$G$773,D15,'1 stopień 20_21'!$K$9:$K$773,"Rzemieślnicza Wałbrzych")</f>
        <v>0</v>
      </c>
      <c r="Z15" s="104">
        <f>SUMIFS('1 stopień 20_21'!$I$9:$I$773,'1 stopień 20_21'!$G$9:$G$773,D15,'1 stopień 20_21'!$K$9:$K$773,"CKZ Mosina")</f>
        <v>0</v>
      </c>
      <c r="AA15" s="104">
        <f>SUMIFS('1 stopień 20_21'!$I$9:$I$773,'1 stopień 20_21'!$G$9:$G$773,D15,'1 stopień 20_21'!$K$9:$K$773,"CKZ Słupsk")</f>
        <v>0</v>
      </c>
      <c r="AB15" s="104">
        <f>SUMIFS('1 stopień 20_21'!$I$9:$I$773,'1 stopień 20_21'!$G$9:$G$773,D15,'1 stopień 20_21'!$K$9:$K$773,"Toyota")</f>
        <v>0</v>
      </c>
      <c r="AC15" s="104">
        <f>SUMIFS('1 stopień 20_21'!$I$9:$I$773,'1 stopień 20_21'!$G$9:$G$773,D15,'1 stopień 20_21'!$K$9:$K$773,"CKZ Wrocław")</f>
        <v>0</v>
      </c>
      <c r="AD15" s="104">
        <f>SUMIFS('1 stopień 20_21'!$I$9:$I$773,'1 stopień 20_21'!$G$9:$G$773,D15,'1 stopień 20_21'!$K$9:$K$773,"CKZ Opole")</f>
        <v>0</v>
      </c>
      <c r="AE15" s="104">
        <f>SUMIFS('1 stopień 20_21'!$I$9:$I$773,'1 stopień 20_21'!$G$9:$G$773,D15,'1 stopień 20_21'!$K$9:$K$773,"Chojnów")</f>
        <v>0</v>
      </c>
      <c r="AF15" s="104">
        <f>SUMIFS('1 stopień 20_21'!$I$9:$I$773,'1 stopień 20_21'!$G$9:$G$773,D15,'1 stopień 20_21'!$K$9:$K$773,"")</f>
        <v>0</v>
      </c>
      <c r="AG15" s="105">
        <f t="shared" si="0"/>
        <v>59</v>
      </c>
    </row>
    <row r="16" spans="1:33">
      <c r="B16" s="106" t="s">
        <v>557</v>
      </c>
      <c r="C16" s="107">
        <v>712906</v>
      </c>
      <c r="D16" s="107" t="s">
        <v>855</v>
      </c>
      <c r="E16" s="106" t="s">
        <v>687</v>
      </c>
      <c r="F16" s="103">
        <f>SUMIF('1 stopień 20_21'!G$9:G$773,D16,'1 stopień 20_21'!I$9:I$773)</f>
        <v>1</v>
      </c>
      <c r="G16" s="104">
        <f>SUMIFS('1 stopień 20_21'!$I$9:$I$773,'1 stopień 20_21'!$G$9:$G$773,D16,'1 stopień 20_21'!$K$9:$K$773,"CKZ Bielawa")</f>
        <v>0</v>
      </c>
      <c r="H16" s="104">
        <f>SUMIFS('1 stopień 20_21'!$I$9:$I$773,'1 stopień 20_21'!$G$9:$G$773,D16,'1 stopień 20_21'!$K$9:$K$773,"GCKZ Głogów")</f>
        <v>0</v>
      </c>
      <c r="I16" s="104">
        <f>SUMIFS('1 stopień 20_21'!$I$9:$I$773,'1 stopień 20_21'!$G$9:$G$773,D16,'1 stopień 20_21'!$K$9:$K$773,"CKZ Jawor")</f>
        <v>0</v>
      </c>
      <c r="J16" s="104">
        <f>SUMIFS('1 stopień 20_21'!$I$9:$I$773,'1 stopień 20_21'!$G$9:$G$773,D16,'1 stopień 20_21'!$K$9:$K$773,"JCKZ Jelenia Góra")</f>
        <v>0</v>
      </c>
      <c r="K16" s="104">
        <f>SUMIFS('1 stopień 20_21'!$I$9:$I$773,'1 stopień 20_21'!$G$9:$G$773,D16,'1 stopień 20_21'!$K$9:$K$773,"CKZ Kłodzko")</f>
        <v>0</v>
      </c>
      <c r="L16" s="104">
        <f>SUMIFS('1 stopień 20_21'!$I$9:$I$773,'1 stopień 20_21'!$G$9:$G$773,D16,'1 stopień 20_21'!$K$9:$K$773,"CKZ Legnica")</f>
        <v>0</v>
      </c>
      <c r="M16" s="104">
        <f>SUMIFS('1 stopień 20_21'!$I$9:$I$773,'1 stopień 20_21'!$G$9:$G$773,D16,'1 stopień 20_21'!$K$9:$K$773,"CKZ Oleśnica")</f>
        <v>0</v>
      </c>
      <c r="N16" s="104">
        <f>SUMIFS('1 stopień 20_21'!$I$9:$I$773,'1 stopień 20_21'!$G$9:$G$773,D16,'1 stopień 20_21'!$K$9:$K$773,"CKZ Świdnica")</f>
        <v>0</v>
      </c>
      <c r="O16" s="104">
        <f>SUMIFS('1 stopień 20_21'!$I$9:$I$773,'1 stopień 20_21'!$G$9:$G$773,D16,'1 stopień 20_21'!$K$9:$K$773,"CKZ Wołów")</f>
        <v>0</v>
      </c>
      <c r="P16" s="104">
        <f>SUMIFS('1 stopień 20_21'!$I$9:$I$773,'1 stopień 20_21'!$G$9:$G$773,D16,'1 stopień 20_21'!$K$9:$K$773,"CKZ Ziębice")</f>
        <v>0</v>
      </c>
      <c r="Q16" s="104">
        <f>SUMIFS('1 stopień 20_21'!$I$9:$I$773,'1 stopień 20_21'!$G$9:$G$773,D16,'1 stopień 20_21'!$K$9:$K$773,"CKZ Dobrodzień")</f>
        <v>0</v>
      </c>
      <c r="R16" s="104">
        <f>SUMIFS('1 stopień 20_21'!$I$9:$I$773,'1 stopień 20_21'!$G$9:$G$773,D16,'1 stopień 20_21'!$K$9:$K$773,"CKZ Głubczyce")</f>
        <v>0</v>
      </c>
      <c r="S16" s="104">
        <f>SUMIFS('1 stopień 20_21'!$I$9:$I$773,'1 stopień 20_21'!$G$9:$G$773,D16,'1 stopień 20_21'!$K$9:$K$773,"CKZ Kędzierzyn Kożle")</f>
        <v>0</v>
      </c>
      <c r="T16" s="104">
        <f>SUMIFS('1 stopień 20_21'!$I$9:$I$773,'1 stopień 20_21'!$G$9:$G$773,D16,'1 stopień 20_21'!$K$9:$K$773,"CKZ Kluczbork")</f>
        <v>0</v>
      </c>
      <c r="U16" s="104">
        <f>SUMIFS('1 stopień 20_21'!$I$9:$I$773,'1 stopień 20_21'!$G$9:$G$773,D16,'1 stopień 20_21'!$K$9:$K$773,"CKZ Krotoszyn")</f>
        <v>0</v>
      </c>
      <c r="V16" s="104">
        <f>SUMIFS('1 stopień 20_21'!$I$9:$I$773,'1 stopień 20_21'!$G$9:$G$773,D16,'1 stopień 20_21'!$K$9:$K$773,"CKZ Olkusz")</f>
        <v>0</v>
      </c>
      <c r="W16" s="104">
        <f>SUMIFS('1 stopień 20_21'!$I$9:$I$773,'1 stopień 20_21'!$G$9:$G$773,D16,'1 stopień 20_21'!$K$9:$K$773,"CKZ Wschowa")</f>
        <v>1</v>
      </c>
      <c r="X16" s="104">
        <f>SUMIFS('1 stopień 20_21'!$I$9:$I$773,'1 stopień 20_21'!$G$9:$G$773,D16,'1 stopień 20_21'!$K$9:$K$773,"CKZ Zielona Góra")</f>
        <v>0</v>
      </c>
      <c r="Y16" s="104">
        <f>SUMIFS('1 stopień 20_21'!$I$9:$I$773,'1 stopień 20_21'!$G$9:$G$773,D16,'1 stopień 20_21'!$K$9:$K$773,"Rzemieślnicza Wałbrzych")</f>
        <v>0</v>
      </c>
      <c r="Z16" s="104">
        <f>SUMIFS('1 stopień 20_21'!$I$9:$I$773,'1 stopień 20_21'!$G$9:$G$773,D16,'1 stopień 20_21'!$K$9:$K$773,"CKZ Mosina")</f>
        <v>0</v>
      </c>
      <c r="AA16" s="104">
        <f>SUMIFS('1 stopień 20_21'!$I$9:$I$773,'1 stopień 20_21'!$G$9:$G$773,D16,'1 stopień 20_21'!$K$9:$K$773,"CKZ Słupsk")</f>
        <v>0</v>
      </c>
      <c r="AB16" s="104">
        <f>SUMIFS('1 stopień 20_21'!$I$9:$I$773,'1 stopień 20_21'!$G$9:$G$773,D16,'1 stopień 20_21'!$K$9:$K$773,"Toyota")</f>
        <v>0</v>
      </c>
      <c r="AC16" s="104">
        <f>SUMIFS('1 stopień 20_21'!$I$9:$I$773,'1 stopień 20_21'!$G$9:$G$773,D16,'1 stopień 20_21'!$K$9:$K$773,"CKZ Wrocław")</f>
        <v>0</v>
      </c>
      <c r="AD16" s="104">
        <f>SUMIFS('1 stopień 20_21'!$I$9:$I$773,'1 stopień 20_21'!$G$9:$G$773,D16,'1 stopień 20_21'!$K$9:$K$773,"CKZ Opole")</f>
        <v>0</v>
      </c>
      <c r="AE16" s="104">
        <f>SUMIFS('1 stopień 20_21'!$I$9:$I$773,'1 stopień 20_21'!$G$9:$G$773,D16,'1 stopień 20_21'!$K$9:$K$773,"Chojnów")</f>
        <v>0</v>
      </c>
      <c r="AF16" s="104">
        <f>SUMIFS('1 stopień 20_21'!$I$9:$I$773,'1 stopień 20_21'!$G$9:$G$773,D16,'1 stopień 20_21'!$K$9:$K$773,"")</f>
        <v>0</v>
      </c>
      <c r="AG16" s="105">
        <f t="shared" si="0"/>
        <v>1</v>
      </c>
    </row>
    <row r="17" spans="2:33">
      <c r="B17" s="106" t="s">
        <v>220</v>
      </c>
      <c r="C17" s="107">
        <v>712905</v>
      </c>
      <c r="D17" s="107" t="s">
        <v>67</v>
      </c>
      <c r="E17" s="106" t="s">
        <v>689</v>
      </c>
      <c r="F17" s="103">
        <f>SUMIF('1 stopień 20_21'!G$9:G$773,D17,'1 stopień 20_21'!I$9:I$773)</f>
        <v>22</v>
      </c>
      <c r="G17" s="104">
        <f>SUMIFS('1 stopień 20_21'!$I$9:$I$773,'1 stopień 20_21'!$G$9:$G$773,D17,'1 stopień 20_21'!$K$9:$K$773,"CKZ Bielawa")</f>
        <v>0</v>
      </c>
      <c r="H17" s="104">
        <f>SUMIFS('1 stopień 20_21'!$I$9:$I$773,'1 stopień 20_21'!$G$9:$G$773,D17,'1 stopień 20_21'!$K$9:$K$773,"GCKZ Głogów")</f>
        <v>0</v>
      </c>
      <c r="I17" s="104">
        <f>SUMIFS('1 stopień 20_21'!$I$9:$I$773,'1 stopień 20_21'!$G$9:$G$773,D17,'1 stopień 20_21'!$K$9:$K$773,"CKZ Jawor")</f>
        <v>0</v>
      </c>
      <c r="J17" s="104">
        <f>SUMIFS('1 stopień 20_21'!$I$9:$I$773,'1 stopień 20_21'!$G$9:$G$773,D17,'1 stopień 20_21'!$K$9:$K$773,"JCKZ Jelenia Góra")</f>
        <v>0</v>
      </c>
      <c r="K17" s="104">
        <f>SUMIFS('1 stopień 20_21'!$I$9:$I$773,'1 stopień 20_21'!$G$9:$G$773,D17,'1 stopień 20_21'!$K$9:$K$773,"CKZ Kłodzko")</f>
        <v>0</v>
      </c>
      <c r="L17" s="104">
        <f>SUMIFS('1 stopień 20_21'!$I$9:$I$773,'1 stopień 20_21'!$G$9:$G$773,D17,'1 stopień 20_21'!$K$9:$K$773,"CKZ Legnica")</f>
        <v>0</v>
      </c>
      <c r="M17" s="104">
        <f>SUMIFS('1 stopień 20_21'!$I$9:$I$773,'1 stopień 20_21'!$G$9:$G$773,D17,'1 stopień 20_21'!$K$9:$K$773,"CKZ Oleśnica")</f>
        <v>0</v>
      </c>
      <c r="N17" s="104">
        <f>SUMIFS('1 stopień 20_21'!$I$9:$I$773,'1 stopień 20_21'!$G$9:$G$773,D17,'1 stopień 20_21'!$K$9:$K$773,"CKZ Świdnica")</f>
        <v>0</v>
      </c>
      <c r="O17" s="104">
        <f>SUMIFS('1 stopień 20_21'!$I$9:$I$773,'1 stopień 20_21'!$G$9:$G$773,D17,'1 stopień 20_21'!$K$9:$K$773,"CKZ Wołów")</f>
        <v>0</v>
      </c>
      <c r="P17" s="104">
        <f>SUMIFS('1 stopień 20_21'!$I$9:$I$773,'1 stopień 20_21'!$G$9:$G$773,D17,'1 stopień 20_21'!$K$9:$K$773,"CKZ Ziębice")</f>
        <v>0</v>
      </c>
      <c r="Q17" s="104">
        <f>SUMIFS('1 stopień 20_21'!$I$9:$I$773,'1 stopień 20_21'!$G$9:$G$773,D17,'1 stopień 20_21'!$K$9:$K$773,"CKZ Dobrodzień")</f>
        <v>0</v>
      </c>
      <c r="R17" s="104">
        <f>SUMIFS('1 stopień 20_21'!$I$9:$I$773,'1 stopień 20_21'!$G$9:$G$773,D17,'1 stopień 20_21'!$K$9:$K$773,"CKZ Głubczyce")</f>
        <v>0</v>
      </c>
      <c r="S17" s="104">
        <f>SUMIFS('1 stopień 20_21'!$I$9:$I$773,'1 stopień 20_21'!$G$9:$G$773,D17,'1 stopień 20_21'!$K$9:$K$773,"CKZ Kędzierzyn Kożle")</f>
        <v>0</v>
      </c>
      <c r="T17" s="104">
        <f>SUMIFS('1 stopień 20_21'!$I$9:$I$773,'1 stopień 20_21'!$G$9:$G$773,D17,'1 stopień 20_21'!$K$9:$K$773,"CKZ Kluczbork")</f>
        <v>0</v>
      </c>
      <c r="U17" s="104">
        <f>SUMIFS('1 stopień 20_21'!$I$9:$I$773,'1 stopień 20_21'!$G$9:$G$773,D17,'1 stopień 20_21'!$K$9:$K$773,"CKZ Krotoszyn")</f>
        <v>0</v>
      </c>
      <c r="V17" s="104">
        <f>SUMIFS('1 stopień 20_21'!$I$9:$I$773,'1 stopień 20_21'!$G$9:$G$773,D17,'1 stopień 20_21'!$K$9:$K$773,"CKZ Olkusz")</f>
        <v>0</v>
      </c>
      <c r="W17" s="104">
        <f>SUMIFS('1 stopień 20_21'!$I$9:$I$773,'1 stopień 20_21'!$G$9:$G$773,D17,'1 stopień 20_21'!$K$9:$K$773,"CKZ Wschowa")</f>
        <v>5</v>
      </c>
      <c r="X17" s="104">
        <f>SUMIFS('1 stopień 20_21'!$I$9:$I$773,'1 stopień 20_21'!$G$9:$G$773,D17,'1 stopień 20_21'!$K$9:$K$773,"CKZ Zielona Góra")</f>
        <v>13</v>
      </c>
      <c r="Y17" s="104">
        <f>SUMIFS('1 stopień 20_21'!$I$9:$I$773,'1 stopień 20_21'!$G$9:$G$773,D17,'1 stopień 20_21'!$K$9:$K$773,"Rzemieślnicza Wałbrzych")</f>
        <v>4</v>
      </c>
      <c r="Z17" s="104">
        <f>SUMIFS('1 stopień 20_21'!$I$9:$I$773,'1 stopień 20_21'!$G$9:$G$773,D17,'1 stopień 20_21'!$K$9:$K$773,"CKZ Mosina")</f>
        <v>0</v>
      </c>
      <c r="AA17" s="104">
        <f>SUMIFS('1 stopień 20_21'!$I$9:$I$773,'1 stopień 20_21'!$G$9:$G$773,D17,'1 stopień 20_21'!$K$9:$K$773,"CKZ Słupsk")</f>
        <v>0</v>
      </c>
      <c r="AB17" s="104">
        <f>SUMIFS('1 stopień 20_21'!$I$9:$I$773,'1 stopień 20_21'!$G$9:$G$773,D17,'1 stopień 20_21'!$K$9:$K$773,"Toyota")</f>
        <v>0</v>
      </c>
      <c r="AC17" s="104">
        <f>SUMIFS('1 stopień 20_21'!$I$9:$I$773,'1 stopień 20_21'!$G$9:$G$773,D17,'1 stopień 20_21'!$K$9:$K$773,"CKZ Wrocław")</f>
        <v>0</v>
      </c>
      <c r="AD17" s="104">
        <f>SUMIFS('1 stopień 20_21'!$I$9:$I$773,'1 stopień 20_21'!$G$9:$G$773,D17,'1 stopień 20_21'!$K$9:$K$773,"CKZ Opole")</f>
        <v>0</v>
      </c>
      <c r="AE17" s="104">
        <f>SUMIFS('1 stopień 20_21'!$I$9:$I$773,'1 stopień 20_21'!$G$9:$G$773,D17,'1 stopień 20_21'!$K$9:$K$773,"Chojnów")</f>
        <v>0</v>
      </c>
      <c r="AF17" s="104">
        <f>SUMIFS('1 stopień 20_21'!$I$9:$I$773,'1 stopień 20_21'!$G$9:$G$773,D17,'1 stopień 20_21'!$K$9:$K$773,"")</f>
        <v>0</v>
      </c>
      <c r="AG17" s="105">
        <f t="shared" si="0"/>
        <v>22</v>
      </c>
    </row>
    <row r="18" spans="2:33">
      <c r="B18" s="106" t="s">
        <v>243</v>
      </c>
      <c r="C18" s="107">
        <v>711204</v>
      </c>
      <c r="D18" s="107" t="s">
        <v>106</v>
      </c>
      <c r="E18" s="106" t="s">
        <v>690</v>
      </c>
      <c r="F18" s="103">
        <f>SUMIF('1 stopień 20_21'!G$9:G$773,D18,'1 stopień 20_21'!I$9:I$773)</f>
        <v>39</v>
      </c>
      <c r="G18" s="104">
        <f>SUMIFS('1 stopień 20_21'!$I$9:$I$773,'1 stopień 20_21'!$G$9:$G$773,D18,'1 stopień 20_21'!$K$9:$K$773,"CKZ Bielawa")</f>
        <v>0</v>
      </c>
      <c r="H18" s="104">
        <f>SUMIFS('1 stopień 20_21'!$I$9:$I$773,'1 stopień 20_21'!$G$9:$G$773,D18,'1 stopień 20_21'!$K$9:$K$773,"GCKZ Głogów")</f>
        <v>0</v>
      </c>
      <c r="I18" s="104">
        <f>SUMIFS('1 stopień 20_21'!$I$9:$I$773,'1 stopień 20_21'!$G$9:$G$773,D18,'1 stopień 20_21'!$K$9:$K$773,"CKZ Jawor")</f>
        <v>0</v>
      </c>
      <c r="J18" s="104">
        <f>SUMIFS('1 stopień 20_21'!$I$9:$I$773,'1 stopień 20_21'!$G$9:$G$773,D18,'1 stopień 20_21'!$K$9:$K$773,"JCKZ Jelenia Góra")</f>
        <v>0</v>
      </c>
      <c r="K18" s="104">
        <f>SUMIFS('1 stopień 20_21'!$I$9:$I$773,'1 stopień 20_21'!$G$9:$G$773,D18,'1 stopień 20_21'!$K$9:$K$773,"CKZ Kłodzko")</f>
        <v>0</v>
      </c>
      <c r="L18" s="104">
        <f>SUMIFS('1 stopień 20_21'!$I$9:$I$773,'1 stopień 20_21'!$G$9:$G$773,D18,'1 stopień 20_21'!$K$9:$K$773,"CKZ Legnica")</f>
        <v>0</v>
      </c>
      <c r="M18" s="104">
        <f>SUMIFS('1 stopień 20_21'!$I$9:$I$773,'1 stopień 20_21'!$G$9:$G$773,D18,'1 stopień 20_21'!$K$9:$K$773,"CKZ Oleśnica")</f>
        <v>0</v>
      </c>
      <c r="N18" s="104">
        <f>SUMIFS('1 stopień 20_21'!$I$9:$I$773,'1 stopień 20_21'!$G$9:$G$773,D18,'1 stopień 20_21'!$K$9:$K$773,"CKZ Świdnica")</f>
        <v>31</v>
      </c>
      <c r="O18" s="104">
        <f>SUMIFS('1 stopień 20_21'!$I$9:$I$773,'1 stopień 20_21'!$G$9:$G$773,D18,'1 stopień 20_21'!$K$9:$K$773,"CKZ Wołów")</f>
        <v>0</v>
      </c>
      <c r="P18" s="104">
        <f>SUMIFS('1 stopień 20_21'!$I$9:$I$773,'1 stopień 20_21'!$G$9:$G$773,D18,'1 stopień 20_21'!$K$9:$K$773,"CKZ Ziębice")</f>
        <v>0</v>
      </c>
      <c r="Q18" s="104">
        <f>SUMIFS('1 stopień 20_21'!$I$9:$I$773,'1 stopień 20_21'!$G$9:$G$773,D18,'1 stopień 20_21'!$K$9:$K$773,"CKZ Dobrodzień")</f>
        <v>0</v>
      </c>
      <c r="R18" s="104">
        <f>SUMIFS('1 stopień 20_21'!$I$9:$I$773,'1 stopień 20_21'!$G$9:$G$773,D18,'1 stopień 20_21'!$K$9:$K$773,"CKZ Głubczyce")</f>
        <v>0</v>
      </c>
      <c r="S18" s="104">
        <f>SUMIFS('1 stopień 20_21'!$I$9:$I$773,'1 stopień 20_21'!$G$9:$G$773,D18,'1 stopień 20_21'!$K$9:$K$773,"CKZ Kędzierzyn Kożle")</f>
        <v>0</v>
      </c>
      <c r="T18" s="104">
        <f>SUMIFS('1 stopień 20_21'!$I$9:$I$773,'1 stopień 20_21'!$G$9:$G$773,D18,'1 stopień 20_21'!$K$9:$K$773,"CKZ Kluczbork")</f>
        <v>0</v>
      </c>
      <c r="U18" s="104">
        <f>SUMIFS('1 stopień 20_21'!$I$9:$I$773,'1 stopień 20_21'!$G$9:$G$773,D18,'1 stopień 20_21'!$K$9:$K$773,"CKZ Krotoszyn")</f>
        <v>0</v>
      </c>
      <c r="V18" s="104">
        <f>SUMIFS('1 stopień 20_21'!$I$9:$I$773,'1 stopień 20_21'!$G$9:$G$773,D18,'1 stopień 20_21'!$K$9:$K$773,"CKZ Olkusz")</f>
        <v>0</v>
      </c>
      <c r="W18" s="104">
        <f>SUMIFS('1 stopień 20_21'!$I$9:$I$773,'1 stopień 20_21'!$G$9:$G$773,D18,'1 stopień 20_21'!$K$9:$K$773,"CKZ Wschowa")</f>
        <v>8</v>
      </c>
      <c r="X18" s="104">
        <f>SUMIFS('1 stopień 20_21'!$I$9:$I$773,'1 stopień 20_21'!$G$9:$G$773,D18,'1 stopień 20_21'!$K$9:$K$773,"CKZ Zielona Góra")</f>
        <v>0</v>
      </c>
      <c r="Y18" s="104">
        <f>SUMIFS('1 stopień 20_21'!$I$9:$I$773,'1 stopień 20_21'!$G$9:$G$773,D18,'1 stopień 20_21'!$K$9:$K$773,"Rzemieślnicza Wałbrzych")</f>
        <v>0</v>
      </c>
      <c r="Z18" s="104">
        <f>SUMIFS('1 stopień 20_21'!$I$9:$I$773,'1 stopień 20_21'!$G$9:$G$773,D18,'1 stopień 20_21'!$K$9:$K$773,"CKZ Mosina")</f>
        <v>0</v>
      </c>
      <c r="AA18" s="104">
        <f>SUMIFS('1 stopień 20_21'!$I$9:$I$773,'1 stopień 20_21'!$G$9:$G$773,D18,'1 stopień 20_21'!$K$9:$K$773,"CKZ Słupsk")</f>
        <v>0</v>
      </c>
      <c r="AB18" s="104">
        <f>SUMIFS('1 stopień 20_21'!$I$9:$I$773,'1 stopień 20_21'!$G$9:$G$773,D18,'1 stopień 20_21'!$K$9:$K$773,"Toyota")</f>
        <v>0</v>
      </c>
      <c r="AC18" s="104">
        <f>SUMIFS('1 stopień 20_21'!$I$9:$I$773,'1 stopień 20_21'!$G$9:$G$773,D18,'1 stopień 20_21'!$K$9:$K$773,"CKZ Wrocław")</f>
        <v>0</v>
      </c>
      <c r="AD18" s="104">
        <f>SUMIFS('1 stopień 20_21'!$I$9:$I$773,'1 stopień 20_21'!$G$9:$G$773,D18,'1 stopień 20_21'!$K$9:$K$773,"CKZ Opole")</f>
        <v>0</v>
      </c>
      <c r="AE18" s="104">
        <f>SUMIFS('1 stopień 20_21'!$I$9:$I$773,'1 stopień 20_21'!$G$9:$G$773,D18,'1 stopień 20_21'!$K$9:$K$773,"Chojnów")</f>
        <v>0</v>
      </c>
      <c r="AF18" s="104">
        <f>SUMIFS('1 stopień 20_21'!$I$9:$I$773,'1 stopień 20_21'!$G$9:$G$773,D18,'1 stopień 20_21'!$K$9:$K$773,"")</f>
        <v>0</v>
      </c>
      <c r="AG18" s="105">
        <f t="shared" si="0"/>
        <v>39</v>
      </c>
    </row>
    <row r="19" spans="2:33">
      <c r="B19" s="106" t="s">
        <v>600</v>
      </c>
      <c r="C19" s="107">
        <v>834209</v>
      </c>
      <c r="D19" s="107" t="s">
        <v>692</v>
      </c>
      <c r="E19" s="106" t="s">
        <v>691</v>
      </c>
      <c r="F19" s="103">
        <f>SUMIF('1 stopień 20_21'!G$9:G$773,D19,'1 stopień 20_21'!I$9:I$773)</f>
        <v>0</v>
      </c>
      <c r="G19" s="104">
        <f>SUMIFS('1 stopień 20_21'!$I$9:$I$773,'1 stopień 20_21'!$G$9:$G$773,D19,'1 stopień 20_21'!$K$9:$K$773,"CKZ Bielawa")</f>
        <v>0</v>
      </c>
      <c r="H19" s="104">
        <f>SUMIFS('1 stopień 20_21'!$I$9:$I$773,'1 stopień 20_21'!$G$9:$G$773,D19,'1 stopień 20_21'!$K$9:$K$773,"GCKZ Głogów")</f>
        <v>0</v>
      </c>
      <c r="I19" s="104">
        <f>SUMIFS('1 stopień 20_21'!$I$9:$I$773,'1 stopień 20_21'!$G$9:$G$773,D19,'1 stopień 20_21'!$K$9:$K$773,"CKZ Jawor")</f>
        <v>0</v>
      </c>
      <c r="J19" s="104">
        <f>SUMIFS('1 stopień 20_21'!$I$9:$I$773,'1 stopień 20_21'!$G$9:$G$773,D19,'1 stopień 20_21'!$K$9:$K$773,"JCKZ Jelenia Góra")</f>
        <v>0</v>
      </c>
      <c r="K19" s="104">
        <f>SUMIFS('1 stopień 20_21'!$I$9:$I$773,'1 stopień 20_21'!$G$9:$G$773,D19,'1 stopień 20_21'!$K$9:$K$773,"CKZ Kłodzko")</f>
        <v>0</v>
      </c>
      <c r="L19" s="104">
        <f>SUMIFS('1 stopień 20_21'!$I$9:$I$773,'1 stopień 20_21'!$G$9:$G$773,D19,'1 stopień 20_21'!$K$9:$K$773,"CKZ Legnica")</f>
        <v>0</v>
      </c>
      <c r="M19" s="104">
        <f>SUMIFS('1 stopień 20_21'!$I$9:$I$773,'1 stopień 20_21'!$G$9:$G$773,D19,'1 stopień 20_21'!$K$9:$K$773,"CKZ Oleśnica")</f>
        <v>0</v>
      </c>
      <c r="N19" s="104">
        <f>SUMIFS('1 stopień 20_21'!$I$9:$I$773,'1 stopień 20_21'!$G$9:$G$773,D19,'1 stopień 20_21'!$K$9:$K$773,"CKZ Świdnica")</f>
        <v>0</v>
      </c>
      <c r="O19" s="104">
        <f>SUMIFS('1 stopień 20_21'!$I$9:$I$773,'1 stopień 20_21'!$G$9:$G$773,D19,'1 stopień 20_21'!$K$9:$K$773,"CKZ Wołów")</f>
        <v>0</v>
      </c>
      <c r="P19" s="104">
        <f>SUMIFS('1 stopień 20_21'!$I$9:$I$773,'1 stopień 20_21'!$G$9:$G$773,D19,'1 stopień 20_21'!$K$9:$K$773,"CKZ Ziębice")</f>
        <v>0</v>
      </c>
      <c r="Q19" s="104">
        <f>SUMIFS('1 stopień 20_21'!$I$9:$I$773,'1 stopień 20_21'!$G$9:$G$773,D19,'1 stopień 20_21'!$K$9:$K$773,"CKZ Dobrodzień")</f>
        <v>0</v>
      </c>
      <c r="R19" s="104">
        <f>SUMIFS('1 stopień 20_21'!$I$9:$I$773,'1 stopień 20_21'!$G$9:$G$773,D19,'1 stopień 20_21'!$K$9:$K$773,"CKZ Głubczyce")</f>
        <v>0</v>
      </c>
      <c r="S19" s="104">
        <f>SUMIFS('1 stopień 20_21'!$I$9:$I$773,'1 stopień 20_21'!$G$9:$G$773,D19,'1 stopień 20_21'!$K$9:$K$773,"CKZ Kędzierzyn Kożle")</f>
        <v>0</v>
      </c>
      <c r="T19" s="104">
        <f>SUMIFS('1 stopień 20_21'!$I$9:$I$773,'1 stopień 20_21'!$G$9:$G$773,D19,'1 stopień 20_21'!$K$9:$K$773,"CKZ Kluczbork")</f>
        <v>0</v>
      </c>
      <c r="U19" s="104">
        <f>SUMIFS('1 stopień 20_21'!$I$9:$I$773,'1 stopień 20_21'!$G$9:$G$773,D19,'1 stopień 20_21'!$K$9:$K$773,"CKZ Krotoszyn")</f>
        <v>0</v>
      </c>
      <c r="V19" s="104">
        <f>SUMIFS('1 stopień 20_21'!$I$9:$I$773,'1 stopień 20_21'!$G$9:$G$773,D19,'1 stopień 20_21'!$K$9:$K$773,"CKZ Olkusz")</f>
        <v>0</v>
      </c>
      <c r="W19" s="104">
        <f>SUMIFS('1 stopień 20_21'!$I$9:$I$773,'1 stopień 20_21'!$G$9:$G$773,D19,'1 stopień 20_21'!$K$9:$K$773,"CKZ Wschowa")</f>
        <v>0</v>
      </c>
      <c r="X19" s="104">
        <f>SUMIFS('1 stopień 20_21'!$I$9:$I$773,'1 stopień 20_21'!$G$9:$G$773,D19,'1 stopień 20_21'!$K$9:$K$773,"CKZ Zielona Góra")</f>
        <v>0</v>
      </c>
      <c r="Y19" s="104">
        <f>SUMIFS('1 stopień 20_21'!$I$9:$I$773,'1 stopień 20_21'!$G$9:$G$773,D19,'1 stopień 20_21'!$K$9:$K$773,"Rzemieślnicza Wałbrzych")</f>
        <v>0</v>
      </c>
      <c r="Z19" s="104">
        <f>SUMIFS('1 stopień 20_21'!$I$9:$I$773,'1 stopień 20_21'!$G$9:$G$773,D19,'1 stopień 20_21'!$K$9:$K$773,"CKZ Mosina")</f>
        <v>0</v>
      </c>
      <c r="AA19" s="104">
        <f>SUMIFS('1 stopień 20_21'!$I$9:$I$773,'1 stopień 20_21'!$G$9:$G$773,D19,'1 stopień 20_21'!$K$9:$K$773,"CKZ Słupsk")</f>
        <v>0</v>
      </c>
      <c r="AB19" s="104">
        <f>SUMIFS('1 stopień 20_21'!$I$9:$I$773,'1 stopień 20_21'!$G$9:$G$773,D19,'1 stopień 20_21'!$K$9:$K$773,"Toyota")</f>
        <v>0</v>
      </c>
      <c r="AC19" s="104">
        <f>SUMIFS('1 stopień 20_21'!$I$9:$I$773,'1 stopień 20_21'!$G$9:$G$773,D19,'1 stopień 20_21'!$K$9:$K$773,"CKZ Wrocław")</f>
        <v>0</v>
      </c>
      <c r="AD19" s="104">
        <f>SUMIFS('1 stopień 20_21'!$I$9:$I$773,'1 stopień 20_21'!$G$9:$G$773,D19,'1 stopień 20_21'!$K$9:$K$773,"CKZ Opole")</f>
        <v>0</v>
      </c>
      <c r="AE19" s="104">
        <f>SUMIFS('1 stopień 20_21'!$I$9:$I$773,'1 stopień 20_21'!$G$9:$G$773,D19,'1 stopień 20_21'!$K$9:$K$773,"Chojnów")</f>
        <v>0</v>
      </c>
      <c r="AF19" s="104">
        <f>SUMIFS('1 stopień 20_21'!$I$9:$I$773,'1 stopień 20_21'!$G$9:$G$773,D19,'1 stopień 20_21'!$K$9:$K$773,"")</f>
        <v>0</v>
      </c>
      <c r="AG19" s="105">
        <f t="shared" si="0"/>
        <v>0</v>
      </c>
    </row>
    <row r="20" spans="2:33">
      <c r="B20" s="106" t="s">
        <v>601</v>
      </c>
      <c r="C20" s="107">
        <v>711203</v>
      </c>
      <c r="D20" s="107" t="s">
        <v>1373</v>
      </c>
      <c r="E20" s="106" t="s">
        <v>693</v>
      </c>
      <c r="F20" s="103">
        <f>SUMIF('1 stopień 20_21'!G$9:G$773,D20,'1 stopień 20_21'!I$9:I$773)</f>
        <v>0</v>
      </c>
      <c r="G20" s="104">
        <f>SUMIFS('1 stopień 20_21'!$I$9:$I$773,'1 stopień 20_21'!$G$9:$G$773,D20,'1 stopień 20_21'!$K$9:$K$773,"CKZ Bielawa")</f>
        <v>0</v>
      </c>
      <c r="H20" s="104">
        <f>SUMIFS('1 stopień 20_21'!$I$9:$I$773,'1 stopień 20_21'!$G$9:$G$773,D20,'1 stopień 20_21'!$K$9:$K$773,"GCKZ Głogów")</f>
        <v>0</v>
      </c>
      <c r="I20" s="104">
        <f>SUMIFS('1 stopień 20_21'!$I$9:$I$773,'1 stopień 20_21'!$G$9:$G$773,D20,'1 stopień 20_21'!$K$9:$K$773,"CKZ Jawor")</f>
        <v>0</v>
      </c>
      <c r="J20" s="104">
        <f>SUMIFS('1 stopień 20_21'!$I$9:$I$773,'1 stopień 20_21'!$G$9:$G$773,D20,'1 stopień 20_21'!$K$9:$K$773,"JCKZ Jelenia Góra")</f>
        <v>0</v>
      </c>
      <c r="K20" s="104">
        <f>SUMIFS('1 stopień 20_21'!$I$9:$I$773,'1 stopień 20_21'!$G$9:$G$773,D20,'1 stopień 20_21'!$K$9:$K$773,"CKZ Kłodzko")</f>
        <v>0</v>
      </c>
      <c r="L20" s="104">
        <f>SUMIFS('1 stopień 20_21'!$I$9:$I$773,'1 stopień 20_21'!$G$9:$G$773,D20,'1 stopień 20_21'!$K$9:$K$773,"CKZ Legnica")</f>
        <v>0</v>
      </c>
      <c r="M20" s="104">
        <f>SUMIFS('1 stopień 20_21'!$I$9:$I$773,'1 stopień 20_21'!$G$9:$G$773,D20,'1 stopień 20_21'!$K$9:$K$773,"CKZ Oleśnica")</f>
        <v>0</v>
      </c>
      <c r="N20" s="104">
        <f>SUMIFS('1 stopień 20_21'!$I$9:$I$773,'1 stopień 20_21'!$G$9:$G$773,D20,'1 stopień 20_21'!$K$9:$K$773,"CKZ Świdnica")</f>
        <v>0</v>
      </c>
      <c r="O20" s="104">
        <f>SUMIFS('1 stopień 20_21'!$I$9:$I$773,'1 stopień 20_21'!$G$9:$G$773,D20,'1 stopień 20_21'!$K$9:$K$773,"CKZ Wołów")</f>
        <v>0</v>
      </c>
      <c r="P20" s="104">
        <f>SUMIFS('1 stopień 20_21'!$I$9:$I$773,'1 stopień 20_21'!$G$9:$G$773,D20,'1 stopień 20_21'!$K$9:$K$773,"CKZ Ziębice")</f>
        <v>0</v>
      </c>
      <c r="Q20" s="104">
        <f>SUMIFS('1 stopień 20_21'!$I$9:$I$773,'1 stopień 20_21'!$G$9:$G$773,D20,'1 stopień 20_21'!$K$9:$K$773,"CKZ Dobrodzień")</f>
        <v>0</v>
      </c>
      <c r="R20" s="104">
        <f>SUMIFS('1 stopień 20_21'!$I$9:$I$773,'1 stopień 20_21'!$G$9:$G$773,D20,'1 stopień 20_21'!$K$9:$K$773,"CKZ Głubczyce")</f>
        <v>0</v>
      </c>
      <c r="S20" s="104">
        <f>SUMIFS('1 stopień 20_21'!$I$9:$I$773,'1 stopień 20_21'!$G$9:$G$773,D20,'1 stopień 20_21'!$K$9:$K$773,"CKZ Kędzierzyn Kożle")</f>
        <v>0</v>
      </c>
      <c r="T20" s="104">
        <f>SUMIFS('1 stopień 20_21'!$I$9:$I$773,'1 stopień 20_21'!$G$9:$G$773,D20,'1 stopień 20_21'!$K$9:$K$773,"CKZ Kluczbork")</f>
        <v>0</v>
      </c>
      <c r="U20" s="104">
        <f>SUMIFS('1 stopień 20_21'!$I$9:$I$773,'1 stopień 20_21'!$G$9:$G$773,D20,'1 stopień 20_21'!$K$9:$K$773,"CKZ Krotoszyn")</f>
        <v>0</v>
      </c>
      <c r="V20" s="104">
        <f>SUMIFS('1 stopień 20_21'!$I$9:$I$773,'1 stopień 20_21'!$G$9:$G$773,D20,'1 stopień 20_21'!$K$9:$K$773,"CKZ Olkusz")</f>
        <v>0</v>
      </c>
      <c r="W20" s="104">
        <f>SUMIFS('1 stopień 20_21'!$I$9:$I$773,'1 stopień 20_21'!$G$9:$G$773,D20,'1 stopień 20_21'!$K$9:$K$773,"CKZ Wschowa")</f>
        <v>0</v>
      </c>
      <c r="X20" s="104">
        <f>SUMIFS('1 stopień 20_21'!$I$9:$I$773,'1 stopień 20_21'!$G$9:$G$773,D20,'1 stopień 20_21'!$K$9:$K$773,"CKZ Zielona Góra")</f>
        <v>0</v>
      </c>
      <c r="Y20" s="104">
        <f>SUMIFS('1 stopień 20_21'!$I$9:$I$773,'1 stopień 20_21'!$G$9:$G$773,D20,'1 stopień 20_21'!$K$9:$K$773,"Rzemieślnicza Wałbrzych")</f>
        <v>0</v>
      </c>
      <c r="Z20" s="104">
        <f>SUMIFS('1 stopień 20_21'!$I$9:$I$773,'1 stopień 20_21'!$G$9:$G$773,D20,'1 stopień 20_21'!$K$9:$K$773,"CKZ Mosina")</f>
        <v>0</v>
      </c>
      <c r="AA20" s="104">
        <f>SUMIFS('1 stopień 20_21'!$I$9:$I$773,'1 stopień 20_21'!$G$9:$G$773,D20,'1 stopień 20_21'!$K$9:$K$773,"CKZ Słupsk")</f>
        <v>0</v>
      </c>
      <c r="AB20" s="104">
        <f>SUMIFS('1 stopień 20_21'!$I$9:$I$773,'1 stopień 20_21'!$G$9:$G$773,D20,'1 stopień 20_21'!$K$9:$K$773,"Toyota")</f>
        <v>0</v>
      </c>
      <c r="AC20" s="104">
        <f>SUMIFS('1 stopień 20_21'!$I$9:$I$773,'1 stopień 20_21'!$G$9:$G$773,D20,'1 stopień 20_21'!$K$9:$K$773,"CKZ Wrocław")</f>
        <v>0</v>
      </c>
      <c r="AD20" s="104">
        <f>SUMIFS('1 stopień 20_21'!$I$9:$I$773,'1 stopień 20_21'!$G$9:$G$773,D20,'1 stopień 20_21'!$K$9:$K$773,"CKZ Opole")</f>
        <v>0</v>
      </c>
      <c r="AE20" s="104">
        <f>SUMIFS('1 stopień 20_21'!$I$9:$I$773,'1 stopień 20_21'!$G$9:$G$773,D20,'1 stopień 20_21'!$K$9:$K$773,"Chojnów")</f>
        <v>0</v>
      </c>
      <c r="AF20" s="104">
        <f>SUMIFS('1 stopień 20_21'!$I$9:$I$773,'1 stopień 20_21'!$G$9:$G$773,D20,'1 stopień 20_21'!$K$9:$K$773,"")</f>
        <v>0</v>
      </c>
      <c r="AG20" s="105">
        <f t="shared" si="0"/>
        <v>0</v>
      </c>
    </row>
    <row r="21" spans="2:33">
      <c r="B21" s="106" t="s">
        <v>602</v>
      </c>
      <c r="C21" s="107">
        <v>818115</v>
      </c>
      <c r="D21" s="107" t="s">
        <v>696</v>
      </c>
      <c r="E21" s="106" t="s">
        <v>695</v>
      </c>
      <c r="F21" s="103">
        <f>SUMIF('1 stopień 20_21'!G$9:G$773,D21,'1 stopień 20_21'!I$9:I$773)</f>
        <v>0</v>
      </c>
      <c r="G21" s="104">
        <f>SUMIFS('1 stopień 20_21'!$I$9:$I$773,'1 stopień 20_21'!$G$9:$G$773,D21,'1 stopień 20_21'!$K$9:$K$773,"CKZ Bielawa")</f>
        <v>0</v>
      </c>
      <c r="H21" s="104">
        <f>SUMIFS('1 stopień 20_21'!$I$9:$I$773,'1 stopień 20_21'!$G$9:$G$773,D21,'1 stopień 20_21'!$K$9:$K$773,"GCKZ Głogów")</f>
        <v>0</v>
      </c>
      <c r="I21" s="104">
        <f>SUMIFS('1 stopień 20_21'!$I$9:$I$773,'1 stopień 20_21'!$G$9:$G$773,D21,'1 stopień 20_21'!$K$9:$K$773,"CKZ Jawor")</f>
        <v>0</v>
      </c>
      <c r="J21" s="104">
        <f>SUMIFS('1 stopień 20_21'!$I$9:$I$773,'1 stopień 20_21'!$G$9:$G$773,D21,'1 stopień 20_21'!$K$9:$K$773,"JCKZ Jelenia Góra")</f>
        <v>0</v>
      </c>
      <c r="K21" s="104">
        <f>SUMIFS('1 stopień 20_21'!$I$9:$I$773,'1 stopień 20_21'!$G$9:$G$773,D21,'1 stopień 20_21'!$K$9:$K$773,"CKZ Kłodzko")</f>
        <v>0</v>
      </c>
      <c r="L21" s="104">
        <f>SUMIFS('1 stopień 20_21'!$I$9:$I$773,'1 stopień 20_21'!$G$9:$G$773,D21,'1 stopień 20_21'!$K$9:$K$773,"CKZ Legnica")</f>
        <v>0</v>
      </c>
      <c r="M21" s="104">
        <f>SUMIFS('1 stopień 20_21'!$I$9:$I$773,'1 stopień 20_21'!$G$9:$G$773,D21,'1 stopień 20_21'!$K$9:$K$773,"CKZ Oleśnica")</f>
        <v>0</v>
      </c>
      <c r="N21" s="104">
        <f>SUMIFS('1 stopień 20_21'!$I$9:$I$773,'1 stopień 20_21'!$G$9:$G$773,D21,'1 stopień 20_21'!$K$9:$K$773,"CKZ Świdnica")</f>
        <v>0</v>
      </c>
      <c r="O21" s="104">
        <f>SUMIFS('1 stopień 20_21'!$I$9:$I$773,'1 stopień 20_21'!$G$9:$G$773,D21,'1 stopień 20_21'!$K$9:$K$773,"CKZ Wołów")</f>
        <v>0</v>
      </c>
      <c r="P21" s="104">
        <f>SUMIFS('1 stopień 20_21'!$I$9:$I$773,'1 stopień 20_21'!$G$9:$G$773,D21,'1 stopień 20_21'!$K$9:$K$773,"CKZ Ziębice")</f>
        <v>0</v>
      </c>
      <c r="Q21" s="104">
        <f>SUMIFS('1 stopień 20_21'!$I$9:$I$773,'1 stopień 20_21'!$G$9:$G$773,D21,'1 stopień 20_21'!$K$9:$K$773,"CKZ Dobrodzień")</f>
        <v>0</v>
      </c>
      <c r="R21" s="104">
        <f>SUMIFS('1 stopień 20_21'!$I$9:$I$773,'1 stopień 20_21'!$G$9:$G$773,D21,'1 stopień 20_21'!$K$9:$K$773,"CKZ Głubczyce")</f>
        <v>0</v>
      </c>
      <c r="S21" s="104">
        <f>SUMIFS('1 stopień 20_21'!$I$9:$I$773,'1 stopień 20_21'!$G$9:$G$773,D21,'1 stopień 20_21'!$K$9:$K$773,"CKZ Kędzierzyn Kożle")</f>
        <v>0</v>
      </c>
      <c r="T21" s="104">
        <f>SUMIFS('1 stopień 20_21'!$I$9:$I$773,'1 stopień 20_21'!$G$9:$G$773,D21,'1 stopień 20_21'!$K$9:$K$773,"CKZ Kluczbork")</f>
        <v>0</v>
      </c>
      <c r="U21" s="104">
        <f>SUMIFS('1 stopień 20_21'!$I$9:$I$773,'1 stopień 20_21'!$G$9:$G$773,D21,'1 stopień 20_21'!$K$9:$K$773,"CKZ Krotoszyn")</f>
        <v>0</v>
      </c>
      <c r="V21" s="104">
        <f>SUMIFS('1 stopień 20_21'!$I$9:$I$773,'1 stopień 20_21'!$G$9:$G$773,D21,'1 stopień 20_21'!$K$9:$K$773,"CKZ Olkusz")</f>
        <v>0</v>
      </c>
      <c r="W21" s="104">
        <f>SUMIFS('1 stopień 20_21'!$I$9:$I$773,'1 stopień 20_21'!$G$9:$G$773,D21,'1 stopień 20_21'!$K$9:$K$773,"CKZ Wschowa")</f>
        <v>0</v>
      </c>
      <c r="X21" s="104">
        <f>SUMIFS('1 stopień 20_21'!$I$9:$I$773,'1 stopień 20_21'!$G$9:$G$773,D21,'1 stopień 20_21'!$K$9:$K$773,"CKZ Zielona Góra")</f>
        <v>0</v>
      </c>
      <c r="Y21" s="104">
        <f>SUMIFS('1 stopień 20_21'!$I$9:$I$773,'1 stopień 20_21'!$G$9:$G$773,D21,'1 stopień 20_21'!$K$9:$K$773,"Rzemieślnicza Wałbrzych")</f>
        <v>0</v>
      </c>
      <c r="Z21" s="104">
        <f>SUMIFS('1 stopień 20_21'!$I$9:$I$773,'1 stopień 20_21'!$G$9:$G$773,D21,'1 stopień 20_21'!$K$9:$K$773,"CKZ Mosina")</f>
        <v>0</v>
      </c>
      <c r="AA21" s="104">
        <f>SUMIFS('1 stopień 20_21'!$I$9:$I$773,'1 stopień 20_21'!$G$9:$G$773,D21,'1 stopień 20_21'!$K$9:$K$773,"CKZ Słupsk")</f>
        <v>0</v>
      </c>
      <c r="AB21" s="104">
        <f>SUMIFS('1 stopień 20_21'!$I$9:$I$773,'1 stopień 20_21'!$G$9:$G$773,D21,'1 stopień 20_21'!$K$9:$K$773,"Toyota")</f>
        <v>0</v>
      </c>
      <c r="AC21" s="104">
        <f>SUMIFS('1 stopień 20_21'!$I$9:$I$773,'1 stopień 20_21'!$G$9:$G$773,D21,'1 stopień 20_21'!$K$9:$K$773,"CKZ Wrocław")</f>
        <v>0</v>
      </c>
      <c r="AD21" s="104">
        <f>SUMIFS('1 stopień 20_21'!$I$9:$I$773,'1 stopień 20_21'!$G$9:$G$773,D21,'1 stopień 20_21'!$K$9:$K$773,"CKZ Opole")</f>
        <v>0</v>
      </c>
      <c r="AE21" s="104">
        <f>SUMIFS('1 stopień 20_21'!$I$9:$I$773,'1 stopień 20_21'!$G$9:$G$773,D21,'1 stopień 20_21'!$K$9:$K$773,"Chojnów")</f>
        <v>0</v>
      </c>
      <c r="AF21" s="104">
        <f>SUMIFS('1 stopień 20_21'!$I$9:$I$773,'1 stopień 20_21'!$G$9:$G$773,D21,'1 stopień 20_21'!$K$9:$K$773,"")</f>
        <v>0</v>
      </c>
      <c r="AG21" s="105">
        <f t="shared" si="0"/>
        <v>0</v>
      </c>
    </row>
    <row r="22" spans="2:33">
      <c r="B22" s="106" t="s">
        <v>603</v>
      </c>
      <c r="C22" s="107">
        <v>818116</v>
      </c>
      <c r="D22" s="107" t="s">
        <v>698</v>
      </c>
      <c r="E22" s="106" t="s">
        <v>697</v>
      </c>
      <c r="F22" s="103">
        <f>SUMIF('1 stopień 20_21'!G$9:G$773,D22,'1 stopień 20_21'!I$9:I$773)</f>
        <v>0</v>
      </c>
      <c r="G22" s="104">
        <f>SUMIFS('1 stopień 20_21'!$I$9:$I$773,'1 stopień 20_21'!$G$9:$G$773,D22,'1 stopień 20_21'!$K$9:$K$773,"CKZ Bielawa")</f>
        <v>0</v>
      </c>
      <c r="H22" s="104">
        <f>SUMIFS('1 stopień 20_21'!$I$9:$I$773,'1 stopień 20_21'!$G$9:$G$773,D22,'1 stopień 20_21'!$K$9:$K$773,"GCKZ Głogów")</f>
        <v>0</v>
      </c>
      <c r="I22" s="104">
        <f>SUMIFS('1 stopień 20_21'!$I$9:$I$773,'1 stopień 20_21'!$G$9:$G$773,D22,'1 stopień 20_21'!$K$9:$K$773,"CKZ Jawor")</f>
        <v>0</v>
      </c>
      <c r="J22" s="104">
        <f>SUMIFS('1 stopień 20_21'!$I$9:$I$773,'1 stopień 20_21'!$G$9:$G$773,D22,'1 stopień 20_21'!$K$9:$K$773,"JCKZ Jelenia Góra")</f>
        <v>0</v>
      </c>
      <c r="K22" s="104">
        <f>SUMIFS('1 stopień 20_21'!$I$9:$I$773,'1 stopień 20_21'!$G$9:$G$773,D22,'1 stopień 20_21'!$K$9:$K$773,"CKZ Kłodzko")</f>
        <v>0</v>
      </c>
      <c r="L22" s="104">
        <f>SUMIFS('1 stopień 20_21'!$I$9:$I$773,'1 stopień 20_21'!$G$9:$G$773,D22,'1 stopień 20_21'!$K$9:$K$773,"CKZ Legnica")</f>
        <v>0</v>
      </c>
      <c r="M22" s="104">
        <f>SUMIFS('1 stopień 20_21'!$I$9:$I$773,'1 stopień 20_21'!$G$9:$G$773,D22,'1 stopień 20_21'!$K$9:$K$773,"CKZ Oleśnica")</f>
        <v>0</v>
      </c>
      <c r="N22" s="104">
        <f>SUMIFS('1 stopień 20_21'!$I$9:$I$773,'1 stopień 20_21'!$G$9:$G$773,D22,'1 stopień 20_21'!$K$9:$K$773,"CKZ Świdnica")</f>
        <v>0</v>
      </c>
      <c r="O22" s="104">
        <f>SUMIFS('1 stopień 20_21'!$I$9:$I$773,'1 stopień 20_21'!$G$9:$G$773,D22,'1 stopień 20_21'!$K$9:$K$773,"CKZ Wołów")</f>
        <v>0</v>
      </c>
      <c r="P22" s="104">
        <f>SUMIFS('1 stopień 20_21'!$I$9:$I$773,'1 stopień 20_21'!$G$9:$G$773,D22,'1 stopień 20_21'!$K$9:$K$773,"CKZ Ziębice")</f>
        <v>0</v>
      </c>
      <c r="Q22" s="104">
        <f>SUMIFS('1 stopień 20_21'!$I$9:$I$773,'1 stopień 20_21'!$G$9:$G$773,D22,'1 stopień 20_21'!$K$9:$K$773,"CKZ Dobrodzień")</f>
        <v>0</v>
      </c>
      <c r="R22" s="104">
        <f>SUMIFS('1 stopień 20_21'!$I$9:$I$773,'1 stopień 20_21'!$G$9:$G$773,D22,'1 stopień 20_21'!$K$9:$K$773,"CKZ Głubczyce")</f>
        <v>0</v>
      </c>
      <c r="S22" s="104">
        <f>SUMIFS('1 stopień 20_21'!$I$9:$I$773,'1 stopień 20_21'!$G$9:$G$773,D22,'1 stopień 20_21'!$K$9:$K$773,"CKZ Kędzierzyn Kożle")</f>
        <v>0</v>
      </c>
      <c r="T22" s="104">
        <f>SUMIFS('1 stopień 20_21'!$I$9:$I$773,'1 stopień 20_21'!$G$9:$G$773,D22,'1 stopień 20_21'!$K$9:$K$773,"CKZ Kluczbork")</f>
        <v>0</v>
      </c>
      <c r="U22" s="104">
        <f>SUMIFS('1 stopień 20_21'!$I$9:$I$773,'1 stopień 20_21'!$G$9:$G$773,D22,'1 stopień 20_21'!$K$9:$K$773,"CKZ Krotoszyn")</f>
        <v>0</v>
      </c>
      <c r="V22" s="104">
        <f>SUMIFS('1 stopień 20_21'!$I$9:$I$773,'1 stopień 20_21'!$G$9:$G$773,D22,'1 stopień 20_21'!$K$9:$K$773,"CKZ Olkusz")</f>
        <v>0</v>
      </c>
      <c r="W22" s="104">
        <f>SUMIFS('1 stopień 20_21'!$I$9:$I$773,'1 stopień 20_21'!$G$9:$G$773,D22,'1 stopień 20_21'!$K$9:$K$773,"CKZ Wschowa")</f>
        <v>0</v>
      </c>
      <c r="X22" s="104">
        <f>SUMIFS('1 stopień 20_21'!$I$9:$I$773,'1 stopień 20_21'!$G$9:$G$773,D22,'1 stopień 20_21'!$K$9:$K$773,"CKZ Zielona Góra")</f>
        <v>0</v>
      </c>
      <c r="Y22" s="104">
        <f>SUMIFS('1 stopień 20_21'!$I$9:$I$773,'1 stopień 20_21'!$G$9:$G$773,D22,'1 stopień 20_21'!$K$9:$K$773,"Rzemieślnicza Wałbrzych")</f>
        <v>0</v>
      </c>
      <c r="Z22" s="104">
        <f>SUMIFS('1 stopień 20_21'!$I$9:$I$773,'1 stopień 20_21'!$G$9:$G$773,D22,'1 stopień 20_21'!$K$9:$K$773,"CKZ Mosina")</f>
        <v>0</v>
      </c>
      <c r="AA22" s="104">
        <f>SUMIFS('1 stopień 20_21'!$I$9:$I$773,'1 stopień 20_21'!$G$9:$G$773,D22,'1 stopień 20_21'!$K$9:$K$773,"CKZ Słupsk")</f>
        <v>0</v>
      </c>
      <c r="AB22" s="104">
        <f>SUMIFS('1 stopień 20_21'!$I$9:$I$773,'1 stopień 20_21'!$G$9:$G$773,D22,'1 stopień 20_21'!$K$9:$K$773,"Toyota")</f>
        <v>0</v>
      </c>
      <c r="AC22" s="104">
        <f>SUMIFS('1 stopień 20_21'!$I$9:$I$773,'1 stopień 20_21'!$G$9:$G$773,D22,'1 stopień 20_21'!$K$9:$K$773,"CKZ Wrocław")</f>
        <v>0</v>
      </c>
      <c r="AD22" s="104">
        <f>SUMIFS('1 stopień 20_21'!$I$9:$I$773,'1 stopień 20_21'!$G$9:$G$773,D22,'1 stopień 20_21'!$K$9:$K$773,"CKZ Opole")</f>
        <v>0</v>
      </c>
      <c r="AE22" s="104">
        <f>SUMIFS('1 stopień 20_21'!$I$9:$I$773,'1 stopień 20_21'!$G$9:$G$773,D22,'1 stopień 20_21'!$K$9:$K$773,"Chojnów")</f>
        <v>0</v>
      </c>
      <c r="AF22" s="104">
        <f>SUMIFS('1 stopień 20_21'!$I$9:$I$773,'1 stopień 20_21'!$G$9:$G$773,D22,'1 stopień 20_21'!$K$9:$K$773,"")</f>
        <v>0</v>
      </c>
      <c r="AG22" s="105">
        <f t="shared" si="0"/>
        <v>0</v>
      </c>
    </row>
    <row r="23" spans="2:33">
      <c r="B23" s="108" t="s">
        <v>604</v>
      </c>
      <c r="C23" s="109">
        <v>731609</v>
      </c>
      <c r="D23" s="109" t="s">
        <v>700</v>
      </c>
      <c r="E23" s="110" t="s">
        <v>699</v>
      </c>
      <c r="F23" s="103">
        <f>SUMIF('1 stopień 20_21'!G$9:G$773,D23,'1 stopień 20_21'!I$9:I$773)</f>
        <v>0</v>
      </c>
      <c r="G23" s="104">
        <f>SUMIFS('1 stopień 20_21'!$I$9:$I$773,'1 stopień 20_21'!$G$9:$G$773,D23,'1 stopień 20_21'!$K$9:$K$773,"CKZ Bielawa")</f>
        <v>0</v>
      </c>
      <c r="H23" s="104">
        <f>SUMIFS('1 stopień 20_21'!$I$9:$I$773,'1 stopień 20_21'!$G$9:$G$773,D23,'1 stopień 20_21'!$K$9:$K$773,"GCKZ Głogów")</f>
        <v>0</v>
      </c>
      <c r="I23" s="104">
        <f>SUMIFS('1 stopień 20_21'!$I$9:$I$773,'1 stopień 20_21'!$G$9:$G$773,D23,'1 stopień 20_21'!$K$9:$K$773,"CKZ Jawor")</f>
        <v>0</v>
      </c>
      <c r="J23" s="104">
        <f>SUMIFS('1 stopień 20_21'!$I$9:$I$773,'1 stopień 20_21'!$G$9:$G$773,D23,'1 stopień 20_21'!$K$9:$K$773,"JCKZ Jelenia Góra")</f>
        <v>0</v>
      </c>
      <c r="K23" s="104">
        <f>SUMIFS('1 stopień 20_21'!$I$9:$I$773,'1 stopień 20_21'!$G$9:$G$773,D23,'1 stopień 20_21'!$K$9:$K$773,"CKZ Kłodzko")</f>
        <v>0</v>
      </c>
      <c r="L23" s="104">
        <f>SUMIFS('1 stopień 20_21'!$I$9:$I$773,'1 stopień 20_21'!$G$9:$G$773,D23,'1 stopień 20_21'!$K$9:$K$773,"CKZ Legnica")</f>
        <v>0</v>
      </c>
      <c r="M23" s="104">
        <f>SUMIFS('1 stopień 20_21'!$I$9:$I$773,'1 stopień 20_21'!$G$9:$G$773,D23,'1 stopień 20_21'!$K$9:$K$773,"CKZ Oleśnica")</f>
        <v>0</v>
      </c>
      <c r="N23" s="104">
        <f>SUMIFS('1 stopień 20_21'!$I$9:$I$773,'1 stopień 20_21'!$G$9:$G$773,D23,'1 stopień 20_21'!$K$9:$K$773,"CKZ Świdnica")</f>
        <v>0</v>
      </c>
      <c r="O23" s="104">
        <f>SUMIFS('1 stopień 20_21'!$I$9:$I$773,'1 stopień 20_21'!$G$9:$G$773,D23,'1 stopień 20_21'!$K$9:$K$773,"CKZ Wołów")</f>
        <v>0</v>
      </c>
      <c r="P23" s="104">
        <f>SUMIFS('1 stopień 20_21'!$I$9:$I$773,'1 stopień 20_21'!$G$9:$G$773,D23,'1 stopień 20_21'!$K$9:$K$773,"CKZ Ziębice")</f>
        <v>0</v>
      </c>
      <c r="Q23" s="104">
        <f>SUMIFS('1 stopień 20_21'!$I$9:$I$773,'1 stopień 20_21'!$G$9:$G$773,D23,'1 stopień 20_21'!$K$9:$K$773,"CKZ Dobrodzień")</f>
        <v>0</v>
      </c>
      <c r="R23" s="104">
        <f>SUMIFS('1 stopień 20_21'!$I$9:$I$773,'1 stopień 20_21'!$G$9:$G$773,D23,'1 stopień 20_21'!$K$9:$K$773,"CKZ Głubczyce")</f>
        <v>0</v>
      </c>
      <c r="S23" s="104">
        <f>SUMIFS('1 stopień 20_21'!$I$9:$I$773,'1 stopień 20_21'!$G$9:$G$773,D23,'1 stopień 20_21'!$K$9:$K$773,"CKZ Kędzierzyn Kożle")</f>
        <v>0</v>
      </c>
      <c r="T23" s="104">
        <f>SUMIFS('1 stopień 20_21'!$I$9:$I$773,'1 stopień 20_21'!$G$9:$G$773,D23,'1 stopień 20_21'!$K$9:$K$773,"CKZ Kluczbork")</f>
        <v>0</v>
      </c>
      <c r="U23" s="104">
        <f>SUMIFS('1 stopień 20_21'!$I$9:$I$773,'1 stopień 20_21'!$G$9:$G$773,D23,'1 stopień 20_21'!$K$9:$K$773,"CKZ Krotoszyn")</f>
        <v>0</v>
      </c>
      <c r="V23" s="104">
        <f>SUMIFS('1 stopień 20_21'!$I$9:$I$773,'1 stopień 20_21'!$G$9:$G$773,D23,'1 stopień 20_21'!$K$9:$K$773,"CKZ Olkusz")</f>
        <v>0</v>
      </c>
      <c r="W23" s="104">
        <f>SUMIFS('1 stopień 20_21'!$I$9:$I$773,'1 stopień 20_21'!$G$9:$G$773,D23,'1 stopień 20_21'!$K$9:$K$773,"CKZ Wschowa")</f>
        <v>0</v>
      </c>
      <c r="X23" s="104">
        <f>SUMIFS('1 stopień 20_21'!$I$9:$I$773,'1 stopień 20_21'!$G$9:$G$773,D23,'1 stopień 20_21'!$K$9:$K$773,"CKZ Zielona Góra")</f>
        <v>0</v>
      </c>
      <c r="Y23" s="104">
        <f>SUMIFS('1 stopień 20_21'!$I$9:$I$773,'1 stopień 20_21'!$G$9:$G$773,D23,'1 stopień 20_21'!$K$9:$K$773,"Rzemieślnicza Wałbrzych")</f>
        <v>0</v>
      </c>
      <c r="Z23" s="104">
        <f>SUMIFS('1 stopień 20_21'!$I$9:$I$773,'1 stopień 20_21'!$G$9:$G$773,D23,'1 stopień 20_21'!$K$9:$K$773,"CKZ Mosina")</f>
        <v>0</v>
      </c>
      <c r="AA23" s="104">
        <f>SUMIFS('1 stopień 20_21'!$I$9:$I$773,'1 stopień 20_21'!$G$9:$G$773,D23,'1 stopień 20_21'!$K$9:$K$773,"CKZ Słupsk")</f>
        <v>0</v>
      </c>
      <c r="AB23" s="104">
        <f>SUMIFS('1 stopień 20_21'!$I$9:$I$773,'1 stopień 20_21'!$G$9:$G$773,D23,'1 stopień 20_21'!$K$9:$K$773,"Toyota")</f>
        <v>0</v>
      </c>
      <c r="AC23" s="104">
        <f>SUMIFS('1 stopień 20_21'!$I$9:$I$773,'1 stopień 20_21'!$G$9:$G$773,D23,'1 stopień 20_21'!$K$9:$K$773,"CKZ Wrocław")</f>
        <v>0</v>
      </c>
      <c r="AD23" s="104">
        <f>SUMIFS('1 stopień 20_21'!$I$9:$I$773,'1 stopień 20_21'!$G$9:$G$773,D23,'1 stopień 20_21'!$K$9:$K$773,"CKZ Opole")</f>
        <v>0</v>
      </c>
      <c r="AE23" s="104">
        <f>SUMIFS('1 stopień 20_21'!$I$9:$I$773,'1 stopień 20_21'!$G$9:$G$773,D23,'1 stopień 20_21'!$K$9:$K$773,"Chojnów")</f>
        <v>0</v>
      </c>
      <c r="AF23" s="104">
        <f>SUMIFS('1 stopień 20_21'!$I$9:$I$773,'1 stopień 20_21'!$G$9:$G$773,D23,'1 stopień 20_21'!$K$9:$K$773,"")</f>
        <v>0</v>
      </c>
      <c r="AG23" s="105">
        <f t="shared" si="0"/>
        <v>0</v>
      </c>
    </row>
    <row r="24" spans="2:33">
      <c r="B24" s="106" t="s">
        <v>605</v>
      </c>
      <c r="C24" s="107">
        <v>814209</v>
      </c>
      <c r="D24" s="107" t="s">
        <v>856</v>
      </c>
      <c r="E24" s="106" t="s">
        <v>701</v>
      </c>
      <c r="F24" s="103">
        <f>SUMIF('1 stopień 20_21'!G$9:G$773,D24,'1 stopień 20_21'!I$9:I$773)</f>
        <v>4</v>
      </c>
      <c r="G24" s="104">
        <f>SUMIFS('1 stopień 20_21'!$I$9:$I$773,'1 stopień 20_21'!$G$9:$G$773,D24,'1 stopień 20_21'!$K$9:$K$773,"CKZ Bielawa")</f>
        <v>0</v>
      </c>
      <c r="H24" s="104">
        <f>SUMIFS('1 stopień 20_21'!$I$9:$I$773,'1 stopień 20_21'!$G$9:$G$773,D24,'1 stopień 20_21'!$K$9:$K$773,"GCKZ Głogów")</f>
        <v>0</v>
      </c>
      <c r="I24" s="104">
        <f>SUMIFS('1 stopień 20_21'!$I$9:$I$773,'1 stopień 20_21'!$G$9:$G$773,D24,'1 stopień 20_21'!$K$9:$K$773,"CKZ Jawor")</f>
        <v>0</v>
      </c>
      <c r="J24" s="104">
        <f>SUMIFS('1 stopień 20_21'!$I$9:$I$773,'1 stopień 20_21'!$G$9:$G$773,D24,'1 stopień 20_21'!$K$9:$K$773,"JCKZ Jelenia Góra")</f>
        <v>0</v>
      </c>
      <c r="K24" s="104">
        <f>SUMIFS('1 stopień 20_21'!$I$9:$I$773,'1 stopień 20_21'!$G$9:$G$773,D24,'1 stopień 20_21'!$K$9:$K$773,"CKZ Kłodzko")</f>
        <v>0</v>
      </c>
      <c r="L24" s="104">
        <f>SUMIFS('1 stopień 20_21'!$I$9:$I$773,'1 stopień 20_21'!$G$9:$G$773,D24,'1 stopień 20_21'!$K$9:$K$773,"CKZ Legnica")</f>
        <v>0</v>
      </c>
      <c r="M24" s="104">
        <f>SUMIFS('1 stopień 20_21'!$I$9:$I$773,'1 stopień 20_21'!$G$9:$G$773,D24,'1 stopień 20_21'!$K$9:$K$773,"CKZ Oleśnica")</f>
        <v>0</v>
      </c>
      <c r="N24" s="104">
        <f>SUMIFS('1 stopień 20_21'!$I$9:$I$773,'1 stopień 20_21'!$G$9:$G$773,D24,'1 stopień 20_21'!$K$9:$K$773,"CKZ Świdnica")</f>
        <v>0</v>
      </c>
      <c r="O24" s="104">
        <f>SUMIFS('1 stopień 20_21'!$I$9:$I$773,'1 stopień 20_21'!$G$9:$G$773,D24,'1 stopień 20_21'!$K$9:$K$773,"CKZ Wołów")</f>
        <v>0</v>
      </c>
      <c r="P24" s="104">
        <f>SUMIFS('1 stopień 20_21'!$I$9:$I$773,'1 stopień 20_21'!$G$9:$G$773,D24,'1 stopień 20_21'!$K$9:$K$773,"CKZ Ziębice")</f>
        <v>0</v>
      </c>
      <c r="Q24" s="104">
        <f>SUMIFS('1 stopień 20_21'!$I$9:$I$773,'1 stopień 20_21'!$G$9:$G$773,D24,'1 stopień 20_21'!$K$9:$K$773,"CKZ Dobrodzień")</f>
        <v>0</v>
      </c>
      <c r="R24" s="104">
        <f>SUMIFS('1 stopień 20_21'!$I$9:$I$773,'1 stopień 20_21'!$G$9:$G$773,D24,'1 stopień 20_21'!$K$9:$K$773,"CKZ Głubczyce")</f>
        <v>0</v>
      </c>
      <c r="S24" s="104">
        <f>SUMIFS('1 stopień 20_21'!$I$9:$I$773,'1 stopień 20_21'!$G$9:$G$773,D24,'1 stopień 20_21'!$K$9:$K$773,"CKZ Kędzierzyn Kożle")</f>
        <v>0</v>
      </c>
      <c r="T24" s="104">
        <f>SUMIFS('1 stopień 20_21'!$I$9:$I$773,'1 stopień 20_21'!$G$9:$G$773,D24,'1 stopień 20_21'!$K$9:$K$773,"CKZ Kluczbork")</f>
        <v>0</v>
      </c>
      <c r="U24" s="104">
        <f>SUMIFS('1 stopień 20_21'!$I$9:$I$773,'1 stopień 20_21'!$G$9:$G$773,D24,'1 stopień 20_21'!$K$9:$K$773,"CKZ Krotoszyn")</f>
        <v>0</v>
      </c>
      <c r="V24" s="104">
        <f>SUMIFS('1 stopień 20_21'!$I$9:$I$773,'1 stopień 20_21'!$G$9:$G$773,D24,'1 stopień 20_21'!$K$9:$K$773,"CKZ Olkusz")</f>
        <v>0</v>
      </c>
      <c r="W24" s="104">
        <f>SUMIFS('1 stopień 20_21'!$I$9:$I$773,'1 stopień 20_21'!$G$9:$G$773,D24,'1 stopień 20_21'!$K$9:$K$773,"CKZ Wschowa")</f>
        <v>4</v>
      </c>
      <c r="X24" s="104">
        <f>SUMIFS('1 stopień 20_21'!$I$9:$I$773,'1 stopień 20_21'!$G$9:$G$773,D24,'1 stopień 20_21'!$K$9:$K$773,"CKZ Zielona Góra")</f>
        <v>0</v>
      </c>
      <c r="Y24" s="104">
        <f>SUMIFS('1 stopień 20_21'!$I$9:$I$773,'1 stopień 20_21'!$G$9:$G$773,D24,'1 stopień 20_21'!$K$9:$K$773,"Rzemieślnicza Wałbrzych")</f>
        <v>0</v>
      </c>
      <c r="Z24" s="104">
        <f>SUMIFS('1 stopień 20_21'!$I$9:$I$773,'1 stopień 20_21'!$G$9:$G$773,D24,'1 stopień 20_21'!$K$9:$K$773,"CKZ Mosina")</f>
        <v>0</v>
      </c>
      <c r="AA24" s="104">
        <f>SUMIFS('1 stopień 20_21'!$I$9:$I$773,'1 stopień 20_21'!$G$9:$G$773,D24,'1 stopień 20_21'!$K$9:$K$773,"CKZ Słupsk")</f>
        <v>0</v>
      </c>
      <c r="AB24" s="104">
        <f>SUMIFS('1 stopień 20_21'!$I$9:$I$773,'1 stopień 20_21'!$G$9:$G$773,D24,'1 stopień 20_21'!$K$9:$K$773,"Toyota")</f>
        <v>0</v>
      </c>
      <c r="AC24" s="104">
        <f>SUMIFS('1 stopień 20_21'!$I$9:$I$773,'1 stopień 20_21'!$G$9:$G$773,D24,'1 stopień 20_21'!$K$9:$K$773,"CKZ Wrocław")</f>
        <v>0</v>
      </c>
      <c r="AD24" s="104">
        <f>SUMIFS('1 stopień 20_21'!$I$9:$I$773,'1 stopień 20_21'!$G$9:$G$773,D24,'1 stopień 20_21'!$K$9:$K$773,"CKZ Opole")</f>
        <v>0</v>
      </c>
      <c r="AE24" s="104">
        <f>SUMIFS('1 stopień 20_21'!$I$9:$I$773,'1 stopień 20_21'!$G$9:$G$773,D24,'1 stopień 20_21'!$K$9:$K$773,"Chojnów")</f>
        <v>0</v>
      </c>
      <c r="AF24" s="104">
        <f>SUMIFS('1 stopień 20_21'!$I$9:$I$773,'1 stopień 20_21'!$G$9:$G$773,D24,'1 stopień 20_21'!$K$9:$K$773,"")</f>
        <v>0</v>
      </c>
      <c r="AG24" s="105">
        <f t="shared" si="0"/>
        <v>4</v>
      </c>
    </row>
    <row r="25" spans="2:33">
      <c r="B25" s="106" t="s">
        <v>606</v>
      </c>
      <c r="C25" s="107">
        <v>813134</v>
      </c>
      <c r="D25" s="107" t="s">
        <v>554</v>
      </c>
      <c r="E25" s="106" t="s">
        <v>703</v>
      </c>
      <c r="F25" s="103">
        <f>SUMIF('1 stopień 20_21'!G$9:G$773,D25,'1 stopień 20_21'!I$9:I$773)</f>
        <v>1</v>
      </c>
      <c r="G25" s="104">
        <f>SUMIFS('1 stopień 20_21'!$I$9:$I$773,'1 stopień 20_21'!$G$9:$G$773,D25,'1 stopień 20_21'!$K$9:$K$773,"CKZ Bielawa")</f>
        <v>0</v>
      </c>
      <c r="H25" s="104">
        <f>SUMIFS('1 stopień 20_21'!$I$9:$I$773,'1 stopień 20_21'!$G$9:$G$773,D25,'1 stopień 20_21'!$K$9:$K$773,"GCKZ Głogów")</f>
        <v>0</v>
      </c>
      <c r="I25" s="104">
        <f>SUMIFS('1 stopień 20_21'!$I$9:$I$773,'1 stopień 20_21'!$G$9:$G$773,D25,'1 stopień 20_21'!$K$9:$K$773,"CKZ Jawor")</f>
        <v>0</v>
      </c>
      <c r="J25" s="104">
        <f>SUMIFS('1 stopień 20_21'!$I$9:$I$773,'1 stopień 20_21'!$G$9:$G$773,D25,'1 stopień 20_21'!$K$9:$K$773,"JCKZ Jelenia Góra")</f>
        <v>0</v>
      </c>
      <c r="K25" s="104">
        <f>SUMIFS('1 stopień 20_21'!$I$9:$I$773,'1 stopień 20_21'!$G$9:$G$773,D25,'1 stopień 20_21'!$K$9:$K$773,"CKZ Kłodzko")</f>
        <v>0</v>
      </c>
      <c r="L25" s="104">
        <f>SUMIFS('1 stopień 20_21'!$I$9:$I$773,'1 stopień 20_21'!$G$9:$G$773,D25,'1 stopień 20_21'!$K$9:$K$773,"CKZ Legnica")</f>
        <v>0</v>
      </c>
      <c r="M25" s="104">
        <f>SUMIFS('1 stopień 20_21'!$I$9:$I$773,'1 stopień 20_21'!$G$9:$G$773,D25,'1 stopień 20_21'!$K$9:$K$773,"CKZ Oleśnica")</f>
        <v>0</v>
      </c>
      <c r="N25" s="104">
        <f>SUMIFS('1 stopień 20_21'!$I$9:$I$773,'1 stopień 20_21'!$G$9:$G$773,D25,'1 stopień 20_21'!$K$9:$K$773,"CKZ Świdnica")</f>
        <v>0</v>
      </c>
      <c r="O25" s="104">
        <f>SUMIFS('1 stopień 20_21'!$I$9:$I$773,'1 stopień 20_21'!$G$9:$G$773,D25,'1 stopień 20_21'!$K$9:$K$773,"CKZ Wołów")</f>
        <v>0</v>
      </c>
      <c r="P25" s="104">
        <f>SUMIFS('1 stopień 20_21'!$I$9:$I$773,'1 stopień 20_21'!$G$9:$G$773,D25,'1 stopień 20_21'!$K$9:$K$773,"CKZ Ziębice")</f>
        <v>0</v>
      </c>
      <c r="Q25" s="104">
        <f>SUMIFS('1 stopień 20_21'!$I$9:$I$773,'1 stopień 20_21'!$G$9:$G$773,D25,'1 stopień 20_21'!$K$9:$K$773,"CKZ Dobrodzień")</f>
        <v>0</v>
      </c>
      <c r="R25" s="104">
        <f>SUMIFS('1 stopień 20_21'!$I$9:$I$773,'1 stopień 20_21'!$G$9:$G$773,D25,'1 stopień 20_21'!$K$9:$K$773,"CKZ Głubczyce")</f>
        <v>0</v>
      </c>
      <c r="S25" s="104">
        <f>SUMIFS('1 stopień 20_21'!$I$9:$I$773,'1 stopień 20_21'!$G$9:$G$773,D25,'1 stopień 20_21'!$K$9:$K$773,"CKZ Kędzierzyn Kożle")</f>
        <v>0</v>
      </c>
      <c r="T25" s="104">
        <f>SUMIFS('1 stopień 20_21'!$I$9:$I$773,'1 stopień 20_21'!$G$9:$G$773,D25,'1 stopień 20_21'!$K$9:$K$773,"CKZ Kluczbork")</f>
        <v>0</v>
      </c>
      <c r="U25" s="104">
        <f>SUMIFS('1 stopień 20_21'!$I$9:$I$773,'1 stopień 20_21'!$G$9:$G$773,D25,'1 stopień 20_21'!$K$9:$K$773,"CKZ Krotoszyn")</f>
        <v>0</v>
      </c>
      <c r="V25" s="104">
        <f>SUMIFS('1 stopień 20_21'!$I$9:$I$773,'1 stopień 20_21'!$G$9:$G$773,D25,'1 stopień 20_21'!$K$9:$K$773,"CKZ Olkusz")</f>
        <v>0</v>
      </c>
      <c r="W25" s="104">
        <f>SUMIFS('1 stopień 20_21'!$I$9:$I$773,'1 stopień 20_21'!$G$9:$G$773,D25,'1 stopień 20_21'!$K$9:$K$773,"CKZ Wschowa")</f>
        <v>0</v>
      </c>
      <c r="X25" s="104">
        <f>SUMIFS('1 stopień 20_21'!$I$9:$I$773,'1 stopień 20_21'!$G$9:$G$773,D25,'1 stopień 20_21'!$K$9:$K$773,"CKZ Zielona Góra")</f>
        <v>1</v>
      </c>
      <c r="Y25" s="104">
        <f>SUMIFS('1 stopień 20_21'!$I$9:$I$773,'1 stopień 20_21'!$G$9:$G$773,D25,'1 stopień 20_21'!$K$9:$K$773,"Rzemieślnicza Wałbrzych")</f>
        <v>0</v>
      </c>
      <c r="Z25" s="104">
        <f>SUMIFS('1 stopień 20_21'!$I$9:$I$773,'1 stopień 20_21'!$G$9:$G$773,D25,'1 stopień 20_21'!$K$9:$K$773,"CKZ Mosina")</f>
        <v>0</v>
      </c>
      <c r="AA25" s="104">
        <f>SUMIFS('1 stopień 20_21'!$I$9:$I$773,'1 stopień 20_21'!$G$9:$G$773,D25,'1 stopień 20_21'!$K$9:$K$773,"CKZ Słupsk")</f>
        <v>0</v>
      </c>
      <c r="AB25" s="104">
        <f>SUMIFS('1 stopień 20_21'!$I$9:$I$773,'1 stopień 20_21'!$G$9:$G$773,D25,'1 stopień 20_21'!$K$9:$K$773,"Toyota")</f>
        <v>0</v>
      </c>
      <c r="AC25" s="104">
        <f>SUMIFS('1 stopień 20_21'!$I$9:$I$773,'1 stopień 20_21'!$G$9:$G$773,D25,'1 stopień 20_21'!$K$9:$K$773,"CKZ Wrocław")</f>
        <v>0</v>
      </c>
      <c r="AD25" s="104">
        <f>SUMIFS('1 stopień 20_21'!$I$9:$I$773,'1 stopień 20_21'!$G$9:$G$773,D25,'1 stopień 20_21'!$K$9:$K$773,"CKZ Opole")</f>
        <v>0</v>
      </c>
      <c r="AE25" s="104">
        <f>SUMIFS('1 stopień 20_21'!$I$9:$I$773,'1 stopień 20_21'!$G$9:$G$773,D25,'1 stopień 20_21'!$K$9:$K$773,"Chojnów")</f>
        <v>0</v>
      </c>
      <c r="AF25" s="104">
        <f>SUMIFS('1 stopień 20_21'!$I$9:$I$773,'1 stopień 20_21'!$G$9:$G$773,D25,'1 stopień 20_21'!$K$9:$K$773,"")</f>
        <v>0</v>
      </c>
      <c r="AG25" s="105">
        <f t="shared" si="0"/>
        <v>1</v>
      </c>
    </row>
    <row r="26" spans="2:33">
      <c r="B26" s="106" t="s">
        <v>607</v>
      </c>
      <c r="C26" s="107">
        <v>731702</v>
      </c>
      <c r="D26" s="107" t="s">
        <v>706</v>
      </c>
      <c r="E26" s="106" t="s">
        <v>705</v>
      </c>
      <c r="F26" s="103">
        <f>SUMIF('1 stopień 20_21'!G$9:G$773,D26,'1 stopień 20_21'!I$9:I$773)</f>
        <v>0</v>
      </c>
      <c r="G26" s="104">
        <f>SUMIFS('1 stopień 20_21'!$I$9:$I$773,'1 stopień 20_21'!$G$9:$G$773,D26,'1 stopień 20_21'!$K$9:$K$773,"CKZ Bielawa")</f>
        <v>0</v>
      </c>
      <c r="H26" s="104">
        <f>SUMIFS('1 stopień 20_21'!$I$9:$I$773,'1 stopień 20_21'!$G$9:$G$773,D26,'1 stopień 20_21'!$K$9:$K$773,"GCKZ Głogów")</f>
        <v>0</v>
      </c>
      <c r="I26" s="104">
        <f>SUMIFS('1 stopień 20_21'!$I$9:$I$773,'1 stopień 20_21'!$G$9:$G$773,D26,'1 stopień 20_21'!$K$9:$K$773,"CKZ Jawor")</f>
        <v>0</v>
      </c>
      <c r="J26" s="104">
        <f>SUMIFS('1 stopień 20_21'!$I$9:$I$773,'1 stopień 20_21'!$G$9:$G$773,D26,'1 stopień 20_21'!$K$9:$K$773,"JCKZ Jelenia Góra")</f>
        <v>0</v>
      </c>
      <c r="K26" s="104">
        <f>SUMIFS('1 stopień 20_21'!$I$9:$I$773,'1 stopień 20_21'!$G$9:$G$773,D26,'1 stopień 20_21'!$K$9:$K$773,"CKZ Kłodzko")</f>
        <v>0</v>
      </c>
      <c r="L26" s="104">
        <f>SUMIFS('1 stopień 20_21'!$I$9:$I$773,'1 stopień 20_21'!$G$9:$G$773,D26,'1 stopień 20_21'!$K$9:$K$773,"CKZ Legnica")</f>
        <v>0</v>
      </c>
      <c r="M26" s="104">
        <f>SUMIFS('1 stopień 20_21'!$I$9:$I$773,'1 stopień 20_21'!$G$9:$G$773,D26,'1 stopień 20_21'!$K$9:$K$773,"CKZ Oleśnica")</f>
        <v>0</v>
      </c>
      <c r="N26" s="104">
        <f>SUMIFS('1 stopień 20_21'!$I$9:$I$773,'1 stopień 20_21'!$G$9:$G$773,D26,'1 stopień 20_21'!$K$9:$K$773,"CKZ Świdnica")</f>
        <v>0</v>
      </c>
      <c r="O26" s="104">
        <f>SUMIFS('1 stopień 20_21'!$I$9:$I$773,'1 stopień 20_21'!$G$9:$G$773,D26,'1 stopień 20_21'!$K$9:$K$773,"CKZ Wołów")</f>
        <v>0</v>
      </c>
      <c r="P26" s="104">
        <f>SUMIFS('1 stopień 20_21'!$I$9:$I$773,'1 stopień 20_21'!$G$9:$G$773,D26,'1 stopień 20_21'!$K$9:$K$773,"CKZ Ziębice")</f>
        <v>0</v>
      </c>
      <c r="Q26" s="104">
        <f>SUMIFS('1 stopień 20_21'!$I$9:$I$773,'1 stopień 20_21'!$G$9:$G$773,D26,'1 stopień 20_21'!$K$9:$K$773,"CKZ Dobrodzień")</f>
        <v>0</v>
      </c>
      <c r="R26" s="104">
        <f>SUMIFS('1 stopień 20_21'!$I$9:$I$773,'1 stopień 20_21'!$G$9:$G$773,D26,'1 stopień 20_21'!$K$9:$K$773,"CKZ Głubczyce")</f>
        <v>0</v>
      </c>
      <c r="S26" s="104">
        <f>SUMIFS('1 stopień 20_21'!$I$9:$I$773,'1 stopień 20_21'!$G$9:$G$773,D26,'1 stopień 20_21'!$K$9:$K$773,"CKZ Kędzierzyn Kożle")</f>
        <v>0</v>
      </c>
      <c r="T26" s="104">
        <f>SUMIFS('1 stopień 20_21'!$I$9:$I$773,'1 stopień 20_21'!$G$9:$G$773,D26,'1 stopień 20_21'!$K$9:$K$773,"CKZ Kluczbork")</f>
        <v>0</v>
      </c>
      <c r="U26" s="104">
        <f>SUMIFS('1 stopień 20_21'!$I$9:$I$773,'1 stopień 20_21'!$G$9:$G$773,D26,'1 stopień 20_21'!$K$9:$K$773,"CKZ Krotoszyn")</f>
        <v>0</v>
      </c>
      <c r="V26" s="104">
        <f>SUMIFS('1 stopień 20_21'!$I$9:$I$773,'1 stopień 20_21'!$G$9:$G$773,D26,'1 stopień 20_21'!$K$9:$K$773,"CKZ Olkusz")</f>
        <v>0</v>
      </c>
      <c r="W26" s="104">
        <f>SUMIFS('1 stopień 20_21'!$I$9:$I$773,'1 stopień 20_21'!$G$9:$G$773,D26,'1 stopień 20_21'!$K$9:$K$773,"CKZ Wschowa")</f>
        <v>0</v>
      </c>
      <c r="X26" s="104">
        <f>SUMIFS('1 stopień 20_21'!$I$9:$I$773,'1 stopień 20_21'!$G$9:$G$773,D26,'1 stopień 20_21'!$K$9:$K$773,"CKZ Zielona Góra")</f>
        <v>0</v>
      </c>
      <c r="Y26" s="104">
        <f>SUMIFS('1 stopień 20_21'!$I$9:$I$773,'1 stopień 20_21'!$G$9:$G$773,D26,'1 stopień 20_21'!$K$9:$K$773,"Rzemieślnicza Wałbrzych")</f>
        <v>0</v>
      </c>
      <c r="Z26" s="104">
        <f>SUMIFS('1 stopień 20_21'!$I$9:$I$773,'1 stopień 20_21'!$G$9:$G$773,D26,'1 stopień 20_21'!$K$9:$K$773,"CKZ Mosina")</f>
        <v>0</v>
      </c>
      <c r="AA26" s="104">
        <f>SUMIFS('1 stopień 20_21'!$I$9:$I$773,'1 stopień 20_21'!$G$9:$G$773,D26,'1 stopień 20_21'!$K$9:$K$773,"CKZ Słupsk")</f>
        <v>0</v>
      </c>
      <c r="AB26" s="104">
        <f>SUMIFS('1 stopień 20_21'!$I$9:$I$773,'1 stopień 20_21'!$G$9:$G$773,D26,'1 stopień 20_21'!$K$9:$K$773,"Toyota")</f>
        <v>0</v>
      </c>
      <c r="AC26" s="104">
        <f>SUMIFS('1 stopień 20_21'!$I$9:$I$773,'1 stopień 20_21'!$G$9:$G$773,D26,'1 stopień 20_21'!$K$9:$K$773,"CKZ Wrocław")</f>
        <v>0</v>
      </c>
      <c r="AD26" s="104">
        <f>SUMIFS('1 stopień 20_21'!$I$9:$I$773,'1 stopień 20_21'!$G$9:$G$773,D26,'1 stopień 20_21'!$K$9:$K$773,"CKZ Opole")</f>
        <v>0</v>
      </c>
      <c r="AE26" s="104">
        <f>SUMIFS('1 stopień 20_21'!$I$9:$I$773,'1 stopień 20_21'!$G$9:$G$773,D26,'1 stopień 20_21'!$K$9:$K$773,"Chojnów")</f>
        <v>0</v>
      </c>
      <c r="AF26" s="104">
        <f>SUMIFS('1 stopień 20_21'!$I$9:$I$773,'1 stopień 20_21'!$G$9:$G$773,D26,'1 stopień 20_21'!$K$9:$K$773,"")</f>
        <v>0</v>
      </c>
      <c r="AG26" s="105">
        <f t="shared" si="0"/>
        <v>0</v>
      </c>
    </row>
    <row r="27" spans="2:33">
      <c r="B27" s="106" t="s">
        <v>608</v>
      </c>
      <c r="C27" s="107">
        <v>817212</v>
      </c>
      <c r="D27" s="107" t="s">
        <v>708</v>
      </c>
      <c r="E27" s="106" t="s">
        <v>707</v>
      </c>
      <c r="F27" s="103">
        <f>SUMIF('1 stopień 20_21'!G$9:G$773,D27,'1 stopień 20_21'!I$9:I$773)</f>
        <v>0</v>
      </c>
      <c r="G27" s="104">
        <f>SUMIFS('1 stopień 20_21'!$I$9:$I$773,'1 stopień 20_21'!$G$9:$G$773,D27,'1 stopień 20_21'!$K$9:$K$773,"CKZ Bielawa")</f>
        <v>0</v>
      </c>
      <c r="H27" s="104">
        <f>SUMIFS('1 stopień 20_21'!$I$9:$I$773,'1 stopień 20_21'!$G$9:$G$773,D27,'1 stopień 20_21'!$K$9:$K$773,"GCKZ Głogów")</f>
        <v>0</v>
      </c>
      <c r="I27" s="104">
        <f>SUMIFS('1 stopień 20_21'!$I$9:$I$773,'1 stopień 20_21'!$G$9:$G$773,D27,'1 stopień 20_21'!$K$9:$K$773,"CKZ Jawor")</f>
        <v>0</v>
      </c>
      <c r="J27" s="104">
        <f>SUMIFS('1 stopień 20_21'!$I$9:$I$773,'1 stopień 20_21'!$G$9:$G$773,D27,'1 stopień 20_21'!$K$9:$K$773,"JCKZ Jelenia Góra")</f>
        <v>0</v>
      </c>
      <c r="K27" s="104">
        <f>SUMIFS('1 stopień 20_21'!$I$9:$I$773,'1 stopień 20_21'!$G$9:$G$773,D27,'1 stopień 20_21'!$K$9:$K$773,"CKZ Kłodzko")</f>
        <v>0</v>
      </c>
      <c r="L27" s="104">
        <f>SUMIFS('1 stopień 20_21'!$I$9:$I$773,'1 stopień 20_21'!$G$9:$G$773,D27,'1 stopień 20_21'!$K$9:$K$773,"CKZ Legnica")</f>
        <v>0</v>
      </c>
      <c r="M27" s="104">
        <f>SUMIFS('1 stopień 20_21'!$I$9:$I$773,'1 stopień 20_21'!$G$9:$G$773,D27,'1 stopień 20_21'!$K$9:$K$773,"CKZ Oleśnica")</f>
        <v>0</v>
      </c>
      <c r="N27" s="104">
        <f>SUMIFS('1 stopień 20_21'!$I$9:$I$773,'1 stopień 20_21'!$G$9:$G$773,D27,'1 stopień 20_21'!$K$9:$K$773,"CKZ Świdnica")</f>
        <v>0</v>
      </c>
      <c r="O27" s="104">
        <f>SUMIFS('1 stopień 20_21'!$I$9:$I$773,'1 stopień 20_21'!$G$9:$G$773,D27,'1 stopień 20_21'!$K$9:$K$773,"CKZ Wołów")</f>
        <v>0</v>
      </c>
      <c r="P27" s="104">
        <f>SUMIFS('1 stopień 20_21'!$I$9:$I$773,'1 stopień 20_21'!$G$9:$G$773,D27,'1 stopień 20_21'!$K$9:$K$773,"CKZ Ziębice")</f>
        <v>0</v>
      </c>
      <c r="Q27" s="104">
        <f>SUMIFS('1 stopień 20_21'!$I$9:$I$773,'1 stopień 20_21'!$G$9:$G$773,D27,'1 stopień 20_21'!$K$9:$K$773,"CKZ Dobrodzień")</f>
        <v>0</v>
      </c>
      <c r="R27" s="104">
        <f>SUMIFS('1 stopień 20_21'!$I$9:$I$773,'1 stopień 20_21'!$G$9:$G$773,D27,'1 stopień 20_21'!$K$9:$K$773,"CKZ Głubczyce")</f>
        <v>0</v>
      </c>
      <c r="S27" s="104">
        <f>SUMIFS('1 stopień 20_21'!$I$9:$I$773,'1 stopień 20_21'!$G$9:$G$773,D27,'1 stopień 20_21'!$K$9:$K$773,"CKZ Kędzierzyn Kożle")</f>
        <v>0</v>
      </c>
      <c r="T27" s="104">
        <f>SUMIFS('1 stopień 20_21'!$I$9:$I$773,'1 stopień 20_21'!$G$9:$G$773,D27,'1 stopień 20_21'!$K$9:$K$773,"CKZ Kluczbork")</f>
        <v>0</v>
      </c>
      <c r="U27" s="104">
        <f>SUMIFS('1 stopień 20_21'!$I$9:$I$773,'1 stopień 20_21'!$G$9:$G$773,D27,'1 stopień 20_21'!$K$9:$K$773,"CKZ Krotoszyn")</f>
        <v>0</v>
      </c>
      <c r="V27" s="104">
        <f>SUMIFS('1 stopień 20_21'!$I$9:$I$773,'1 stopień 20_21'!$G$9:$G$773,D27,'1 stopień 20_21'!$K$9:$K$773,"CKZ Olkusz")</f>
        <v>0</v>
      </c>
      <c r="W27" s="104">
        <f>SUMIFS('1 stopień 20_21'!$I$9:$I$773,'1 stopień 20_21'!$G$9:$G$773,D27,'1 stopień 20_21'!$K$9:$K$773,"CKZ Wschowa")</f>
        <v>0</v>
      </c>
      <c r="X27" s="104">
        <f>SUMIFS('1 stopień 20_21'!$I$9:$I$773,'1 stopień 20_21'!$G$9:$G$773,D27,'1 stopień 20_21'!$K$9:$K$773,"CKZ Zielona Góra")</f>
        <v>0</v>
      </c>
      <c r="Y27" s="104">
        <f>SUMIFS('1 stopień 20_21'!$I$9:$I$773,'1 stopień 20_21'!$G$9:$G$773,D27,'1 stopień 20_21'!$K$9:$K$773,"Rzemieślnicza Wałbrzych")</f>
        <v>0</v>
      </c>
      <c r="Z27" s="104">
        <f>SUMIFS('1 stopień 20_21'!$I$9:$I$773,'1 stopień 20_21'!$G$9:$G$773,D27,'1 stopień 20_21'!$K$9:$K$773,"CKZ Mosina")</f>
        <v>0</v>
      </c>
      <c r="AA27" s="104">
        <f>SUMIFS('1 stopień 20_21'!$I$9:$I$773,'1 stopień 20_21'!$G$9:$G$773,D27,'1 stopień 20_21'!$K$9:$K$773,"CKZ Słupsk")</f>
        <v>0</v>
      </c>
      <c r="AB27" s="104">
        <f>SUMIFS('1 stopień 20_21'!$I$9:$I$773,'1 stopień 20_21'!$G$9:$G$773,D27,'1 stopień 20_21'!$K$9:$K$773,"Toyota")</f>
        <v>0</v>
      </c>
      <c r="AC27" s="104">
        <f>SUMIFS('1 stopień 20_21'!$I$9:$I$773,'1 stopień 20_21'!$G$9:$G$773,D27,'1 stopień 20_21'!$K$9:$K$773,"CKZ Wrocław")</f>
        <v>0</v>
      </c>
      <c r="AD27" s="104">
        <f>SUMIFS('1 stopień 20_21'!$I$9:$I$773,'1 stopień 20_21'!$G$9:$G$773,D27,'1 stopień 20_21'!$K$9:$K$773,"CKZ Opole")</f>
        <v>0</v>
      </c>
      <c r="AE27" s="104">
        <f>SUMIFS('1 stopień 20_21'!$I$9:$I$773,'1 stopień 20_21'!$G$9:$G$773,D27,'1 stopień 20_21'!$K$9:$K$773,"Chojnów")</f>
        <v>0</v>
      </c>
      <c r="AF27" s="104">
        <f>SUMIFS('1 stopień 20_21'!$I$9:$I$773,'1 stopień 20_21'!$G$9:$G$773,D27,'1 stopień 20_21'!$K$9:$K$773,"")</f>
        <v>0</v>
      </c>
      <c r="AG27" s="105">
        <f t="shared" si="0"/>
        <v>0</v>
      </c>
    </row>
    <row r="28" spans="2:33">
      <c r="B28" s="106" t="s">
        <v>609</v>
      </c>
      <c r="C28" s="107">
        <v>932918</v>
      </c>
      <c r="D28" s="107" t="s">
        <v>1374</v>
      </c>
      <c r="E28" s="106" t="s">
        <v>709</v>
      </c>
      <c r="F28" s="103">
        <f>SUMIF('1 stopień 20_21'!G$9:G$773,D28,'1 stopień 20_21'!I$9:I$773)</f>
        <v>0</v>
      </c>
      <c r="G28" s="104">
        <f>SUMIFS('1 stopień 20_21'!$I$9:$I$773,'1 stopień 20_21'!$G$9:$G$773,D28,'1 stopień 20_21'!$K$9:$K$773,"CKZ Bielawa")</f>
        <v>0</v>
      </c>
      <c r="H28" s="104">
        <f>SUMIFS('1 stopień 20_21'!$I$9:$I$773,'1 stopień 20_21'!$G$9:$G$773,D28,'1 stopień 20_21'!$K$9:$K$773,"GCKZ Głogów")</f>
        <v>0</v>
      </c>
      <c r="I28" s="104">
        <f>SUMIFS('1 stopień 20_21'!$I$9:$I$773,'1 stopień 20_21'!$G$9:$G$773,D28,'1 stopień 20_21'!$K$9:$K$773,"CKZ Jawor")</f>
        <v>0</v>
      </c>
      <c r="J28" s="104">
        <f>SUMIFS('1 stopień 20_21'!$I$9:$I$773,'1 stopień 20_21'!$G$9:$G$773,D28,'1 stopień 20_21'!$K$9:$K$773,"JCKZ Jelenia Góra")</f>
        <v>0</v>
      </c>
      <c r="K28" s="104">
        <f>SUMIFS('1 stopień 20_21'!$I$9:$I$773,'1 stopień 20_21'!$G$9:$G$773,D28,'1 stopień 20_21'!$K$9:$K$773,"CKZ Kłodzko")</f>
        <v>0</v>
      </c>
      <c r="L28" s="104">
        <f>SUMIFS('1 stopień 20_21'!$I$9:$I$773,'1 stopień 20_21'!$G$9:$G$773,D28,'1 stopień 20_21'!$K$9:$K$773,"CKZ Legnica")</f>
        <v>0</v>
      </c>
      <c r="M28" s="104">
        <f>SUMIFS('1 stopień 20_21'!$I$9:$I$773,'1 stopień 20_21'!$G$9:$G$773,D28,'1 stopień 20_21'!$K$9:$K$773,"CKZ Oleśnica")</f>
        <v>0</v>
      </c>
      <c r="N28" s="104">
        <f>SUMIFS('1 stopień 20_21'!$I$9:$I$773,'1 stopień 20_21'!$G$9:$G$773,D28,'1 stopień 20_21'!$K$9:$K$773,"CKZ Świdnica")</f>
        <v>0</v>
      </c>
      <c r="O28" s="104">
        <f>SUMIFS('1 stopień 20_21'!$I$9:$I$773,'1 stopień 20_21'!$G$9:$G$773,D28,'1 stopień 20_21'!$K$9:$K$773,"CKZ Wołów")</f>
        <v>0</v>
      </c>
      <c r="P28" s="104">
        <f>SUMIFS('1 stopień 20_21'!$I$9:$I$773,'1 stopień 20_21'!$G$9:$G$773,D28,'1 stopień 20_21'!$K$9:$K$773,"CKZ Ziębice")</f>
        <v>0</v>
      </c>
      <c r="Q28" s="104">
        <f>SUMIFS('1 stopień 20_21'!$I$9:$I$773,'1 stopień 20_21'!$G$9:$G$773,D28,'1 stopień 20_21'!$K$9:$K$773,"CKZ Dobrodzień")</f>
        <v>0</v>
      </c>
      <c r="R28" s="104">
        <f>SUMIFS('1 stopień 20_21'!$I$9:$I$773,'1 stopień 20_21'!$G$9:$G$773,D28,'1 stopień 20_21'!$K$9:$K$773,"CKZ Głubczyce")</f>
        <v>0</v>
      </c>
      <c r="S28" s="104">
        <f>SUMIFS('1 stopień 20_21'!$I$9:$I$773,'1 stopień 20_21'!$G$9:$G$773,D28,'1 stopień 20_21'!$K$9:$K$773,"CKZ Kędzierzyn Kożle")</f>
        <v>0</v>
      </c>
      <c r="T28" s="104">
        <f>SUMIFS('1 stopień 20_21'!$I$9:$I$773,'1 stopień 20_21'!$G$9:$G$773,D28,'1 stopień 20_21'!$K$9:$K$773,"CKZ Kluczbork")</f>
        <v>0</v>
      </c>
      <c r="U28" s="104">
        <f>SUMIFS('1 stopień 20_21'!$I$9:$I$773,'1 stopień 20_21'!$G$9:$G$773,D28,'1 stopień 20_21'!$K$9:$K$773,"CKZ Krotoszyn")</f>
        <v>0</v>
      </c>
      <c r="V28" s="104">
        <f>SUMIFS('1 stopień 20_21'!$I$9:$I$773,'1 stopień 20_21'!$G$9:$G$773,D28,'1 stopień 20_21'!$K$9:$K$773,"CKZ Olkusz")</f>
        <v>0</v>
      </c>
      <c r="W28" s="104">
        <f>SUMIFS('1 stopień 20_21'!$I$9:$I$773,'1 stopień 20_21'!$G$9:$G$773,D28,'1 stopień 20_21'!$K$9:$K$773,"CKZ Wschowa")</f>
        <v>0</v>
      </c>
      <c r="X28" s="104">
        <f>SUMIFS('1 stopień 20_21'!$I$9:$I$773,'1 stopień 20_21'!$G$9:$G$773,D28,'1 stopień 20_21'!$K$9:$K$773,"CKZ Zielona Góra")</f>
        <v>0</v>
      </c>
      <c r="Y28" s="104">
        <f>SUMIFS('1 stopień 20_21'!$I$9:$I$773,'1 stopień 20_21'!$G$9:$G$773,D28,'1 stopień 20_21'!$K$9:$K$773,"Rzemieślnicza Wałbrzych")</f>
        <v>0</v>
      </c>
      <c r="Z28" s="104">
        <f>SUMIFS('1 stopień 20_21'!$I$9:$I$773,'1 stopień 20_21'!$G$9:$G$773,D28,'1 stopień 20_21'!$K$9:$K$773,"CKZ Mosina")</f>
        <v>0</v>
      </c>
      <c r="AA28" s="104">
        <f>SUMIFS('1 stopień 20_21'!$I$9:$I$773,'1 stopień 20_21'!$G$9:$G$773,D28,'1 stopień 20_21'!$K$9:$K$773,"CKZ Słupsk")</f>
        <v>0</v>
      </c>
      <c r="AB28" s="104">
        <f>SUMIFS('1 stopień 20_21'!$I$9:$I$773,'1 stopień 20_21'!$G$9:$G$773,D28,'1 stopień 20_21'!$K$9:$K$773,"Toyota")</f>
        <v>0</v>
      </c>
      <c r="AC28" s="104">
        <f>SUMIFS('1 stopień 20_21'!$I$9:$I$773,'1 stopień 20_21'!$G$9:$G$773,D28,'1 stopień 20_21'!$K$9:$K$773,"CKZ Wrocław")</f>
        <v>0</v>
      </c>
      <c r="AD28" s="104">
        <f>SUMIFS('1 stopień 20_21'!$I$9:$I$773,'1 stopień 20_21'!$G$9:$G$773,D28,'1 stopień 20_21'!$K$9:$K$773,"CKZ Opole")</f>
        <v>0</v>
      </c>
      <c r="AE28" s="104">
        <f>SUMIFS('1 stopień 20_21'!$I$9:$I$773,'1 stopień 20_21'!$G$9:$G$773,D28,'1 stopień 20_21'!$K$9:$K$773,"Chojnów")</f>
        <v>0</v>
      </c>
      <c r="AF28" s="104">
        <f>SUMIFS('1 stopień 20_21'!$I$9:$I$773,'1 stopień 20_21'!$G$9:$G$773,D28,'1 stopień 20_21'!$K$9:$K$773,"")</f>
        <v>0</v>
      </c>
      <c r="AG28" s="105">
        <f t="shared" si="0"/>
        <v>0</v>
      </c>
    </row>
    <row r="29" spans="2:33">
      <c r="B29" s="106" t="s">
        <v>91</v>
      </c>
      <c r="C29" s="107">
        <v>752205</v>
      </c>
      <c r="D29" s="107" t="s">
        <v>69</v>
      </c>
      <c r="E29" s="106" t="s">
        <v>711</v>
      </c>
      <c r="F29" s="103">
        <f>SUMIF('1 stopień 20_21'!G$9:G$773,D29,'1 stopień 20_21'!I$9:I$773)</f>
        <v>65</v>
      </c>
      <c r="G29" s="104">
        <f>SUMIFS('1 stopień 20_21'!$I$9:$I$773,'1 stopień 20_21'!$G$9:$G$773,D29,'1 stopień 20_21'!$K$9:$K$773,"CKZ Bielawa")</f>
        <v>0</v>
      </c>
      <c r="H29" s="104">
        <f>SUMIFS('1 stopień 20_21'!$I$9:$I$773,'1 stopień 20_21'!$G$9:$G$773,D29,'1 stopień 20_21'!$K$9:$K$773,"GCKZ Głogów")</f>
        <v>0</v>
      </c>
      <c r="I29" s="104">
        <f>SUMIFS('1 stopień 20_21'!$I$9:$I$773,'1 stopień 20_21'!$G$9:$G$773,D29,'1 stopień 20_21'!$K$9:$K$773,"CKZ Jawor")</f>
        <v>0</v>
      </c>
      <c r="J29" s="104">
        <f>SUMIFS('1 stopień 20_21'!$I$9:$I$773,'1 stopień 20_21'!$G$9:$G$773,D29,'1 stopień 20_21'!$K$9:$K$773,"JCKZ Jelenia Góra")</f>
        <v>0</v>
      </c>
      <c r="K29" s="104">
        <f>SUMIFS('1 stopień 20_21'!$I$9:$I$773,'1 stopień 20_21'!$G$9:$G$773,D29,'1 stopień 20_21'!$K$9:$K$773,"CKZ Kłodzko")</f>
        <v>0</v>
      </c>
      <c r="L29" s="104">
        <f>SUMIFS('1 stopień 20_21'!$I$9:$I$773,'1 stopień 20_21'!$G$9:$G$773,D29,'1 stopień 20_21'!$K$9:$K$773,"CKZ Legnica")</f>
        <v>0</v>
      </c>
      <c r="M29" s="104">
        <f>SUMIFS('1 stopień 20_21'!$I$9:$I$773,'1 stopień 20_21'!$G$9:$G$773,D29,'1 stopień 20_21'!$K$9:$K$773,"CKZ Oleśnica")</f>
        <v>24</v>
      </c>
      <c r="N29" s="104">
        <f>SUMIFS('1 stopień 20_21'!$I$9:$I$773,'1 stopień 20_21'!$G$9:$G$773,D29,'1 stopień 20_21'!$K$9:$K$773,"CKZ Świdnica")</f>
        <v>26</v>
      </c>
      <c r="O29" s="104">
        <f>SUMIFS('1 stopień 20_21'!$I$9:$I$773,'1 stopień 20_21'!$G$9:$G$773,D29,'1 stopień 20_21'!$K$9:$K$773,"CKZ Wołów")</f>
        <v>11</v>
      </c>
      <c r="P29" s="104">
        <f>SUMIFS('1 stopień 20_21'!$I$9:$I$773,'1 stopień 20_21'!$G$9:$G$773,D29,'1 stopień 20_21'!$K$9:$K$773,"CKZ Ziębice")</f>
        <v>0</v>
      </c>
      <c r="Q29" s="104">
        <f>SUMIFS('1 stopień 20_21'!$I$9:$I$773,'1 stopień 20_21'!$G$9:$G$773,D29,'1 stopień 20_21'!$K$9:$K$773,"CKZ Dobrodzień")</f>
        <v>0</v>
      </c>
      <c r="R29" s="104">
        <f>SUMIFS('1 stopień 20_21'!$I$9:$I$773,'1 stopień 20_21'!$G$9:$G$773,D29,'1 stopień 20_21'!$K$9:$K$773,"CKZ Głubczyce")</f>
        <v>0</v>
      </c>
      <c r="S29" s="104">
        <f>SUMIFS('1 stopień 20_21'!$I$9:$I$773,'1 stopień 20_21'!$G$9:$G$773,D29,'1 stopień 20_21'!$K$9:$K$773,"CKZ Kędzierzyn Kożle")</f>
        <v>0</v>
      </c>
      <c r="T29" s="104">
        <f>SUMIFS('1 stopień 20_21'!$I$9:$I$773,'1 stopień 20_21'!$G$9:$G$773,D29,'1 stopień 20_21'!$K$9:$K$773,"CKZ Kluczbork")</f>
        <v>0</v>
      </c>
      <c r="U29" s="104">
        <f>SUMIFS('1 stopień 20_21'!$I$9:$I$773,'1 stopień 20_21'!$G$9:$G$773,D29,'1 stopień 20_21'!$K$9:$K$773,"CKZ Krotoszyn")</f>
        <v>0</v>
      </c>
      <c r="V29" s="104">
        <f>SUMIFS('1 stopień 20_21'!$I$9:$I$773,'1 stopień 20_21'!$G$9:$G$773,D29,'1 stopień 20_21'!$K$9:$K$773,"CKZ Olkusz")</f>
        <v>0</v>
      </c>
      <c r="W29" s="104">
        <f>SUMIFS('1 stopień 20_21'!$I$9:$I$773,'1 stopień 20_21'!$G$9:$G$773,D29,'1 stopień 20_21'!$K$9:$K$773,"CKZ Wschowa")</f>
        <v>4</v>
      </c>
      <c r="X29" s="104">
        <f>SUMIFS('1 stopień 20_21'!$I$9:$I$773,'1 stopień 20_21'!$G$9:$G$773,D29,'1 stopień 20_21'!$K$9:$K$773,"CKZ Zielona Góra")</f>
        <v>0</v>
      </c>
      <c r="Y29" s="104">
        <f>SUMIFS('1 stopień 20_21'!$I$9:$I$773,'1 stopień 20_21'!$G$9:$G$773,D29,'1 stopień 20_21'!$K$9:$K$773,"Rzemieślnicza Wałbrzych")</f>
        <v>0</v>
      </c>
      <c r="Z29" s="104">
        <f>SUMIFS('1 stopień 20_21'!$I$9:$I$773,'1 stopień 20_21'!$G$9:$G$773,D29,'1 stopień 20_21'!$K$9:$K$773,"CKZ Mosina")</f>
        <v>0</v>
      </c>
      <c r="AA29" s="104">
        <f>SUMIFS('1 stopień 20_21'!$I$9:$I$773,'1 stopień 20_21'!$G$9:$G$773,D29,'1 stopień 20_21'!$K$9:$K$773,"CKZ Słupsk")</f>
        <v>0</v>
      </c>
      <c r="AB29" s="104">
        <f>SUMIFS('1 stopień 20_21'!$I$9:$I$773,'1 stopień 20_21'!$G$9:$G$773,D29,'1 stopień 20_21'!$K$9:$K$773,"Toyota")</f>
        <v>0</v>
      </c>
      <c r="AC29" s="104">
        <f>SUMIFS('1 stopień 20_21'!$I$9:$I$773,'1 stopień 20_21'!$G$9:$G$773,D29,'1 stopień 20_21'!$K$9:$K$773,"CKZ Wrocław")</f>
        <v>0</v>
      </c>
      <c r="AD29" s="104">
        <f>SUMIFS('1 stopień 20_21'!$I$9:$I$773,'1 stopień 20_21'!$G$9:$G$773,D29,'1 stopień 20_21'!$K$9:$K$773,"CKZ Opole")</f>
        <v>0</v>
      </c>
      <c r="AE29" s="104">
        <f>SUMIFS('1 stopień 20_21'!$I$9:$I$773,'1 stopień 20_21'!$G$9:$G$773,D29,'1 stopień 20_21'!$K$9:$K$773,"Chojnów")</f>
        <v>0</v>
      </c>
      <c r="AF29" s="104">
        <f>SUMIFS('1 stopień 20_21'!$I$9:$I$773,'1 stopień 20_21'!$G$9:$G$773,D29,'1 stopień 20_21'!$K$9:$K$773,"")</f>
        <v>0</v>
      </c>
      <c r="AG29" s="105">
        <f t="shared" si="0"/>
        <v>65</v>
      </c>
    </row>
    <row r="30" spans="2:33">
      <c r="B30" s="106" t="s">
        <v>218</v>
      </c>
      <c r="C30" s="107">
        <v>753402</v>
      </c>
      <c r="D30" s="107" t="s">
        <v>70</v>
      </c>
      <c r="E30" s="106" t="s">
        <v>712</v>
      </c>
      <c r="F30" s="103">
        <f>SUMIF('1 stopień 20_21'!G$9:G$773,D30,'1 stopień 20_21'!I$9:I$773)</f>
        <v>69</v>
      </c>
      <c r="G30" s="104">
        <f>SUMIFS('1 stopień 20_21'!$I$9:$I$773,'1 stopień 20_21'!$G$9:$G$773,D30,'1 stopień 20_21'!$K$9:$K$773,"CKZ Bielawa")</f>
        <v>0</v>
      </c>
      <c r="H30" s="104">
        <f>SUMIFS('1 stopień 20_21'!$I$9:$I$773,'1 stopień 20_21'!$G$9:$G$773,D30,'1 stopień 20_21'!$K$9:$K$773,"GCKZ Głogów")</f>
        <v>0</v>
      </c>
      <c r="I30" s="104">
        <f>SUMIFS('1 stopień 20_21'!$I$9:$I$773,'1 stopień 20_21'!$G$9:$G$773,D30,'1 stopień 20_21'!$K$9:$K$773,"CKZ Jawor")</f>
        <v>0</v>
      </c>
      <c r="J30" s="104">
        <f>SUMIFS('1 stopień 20_21'!$I$9:$I$773,'1 stopień 20_21'!$G$9:$G$773,D30,'1 stopień 20_21'!$K$9:$K$773,"JCKZ Jelenia Góra")</f>
        <v>0</v>
      </c>
      <c r="K30" s="104">
        <f>SUMIFS('1 stopień 20_21'!$I$9:$I$773,'1 stopień 20_21'!$G$9:$G$773,D30,'1 stopień 20_21'!$K$9:$K$773,"CKZ Kłodzko")</f>
        <v>0</v>
      </c>
      <c r="L30" s="104">
        <f>SUMIFS('1 stopień 20_21'!$I$9:$I$773,'1 stopień 20_21'!$G$9:$G$773,D30,'1 stopień 20_21'!$K$9:$K$773,"CKZ Legnica")</f>
        <v>0</v>
      </c>
      <c r="M30" s="104">
        <f>SUMIFS('1 stopień 20_21'!$I$9:$I$773,'1 stopień 20_21'!$G$9:$G$773,D30,'1 stopień 20_21'!$K$9:$K$773,"CKZ Oleśnica")</f>
        <v>63</v>
      </c>
      <c r="N30" s="104">
        <f>SUMIFS('1 stopień 20_21'!$I$9:$I$773,'1 stopień 20_21'!$G$9:$G$773,D30,'1 stopień 20_21'!$K$9:$K$773,"CKZ Świdnica")</f>
        <v>0</v>
      </c>
      <c r="O30" s="104">
        <f>SUMIFS('1 stopień 20_21'!$I$9:$I$773,'1 stopień 20_21'!$G$9:$G$773,D30,'1 stopień 20_21'!$K$9:$K$773,"CKZ Wołów")</f>
        <v>0</v>
      </c>
      <c r="P30" s="104">
        <f>SUMIFS('1 stopień 20_21'!$I$9:$I$773,'1 stopień 20_21'!$G$9:$G$773,D30,'1 stopień 20_21'!$K$9:$K$773,"CKZ Ziębice")</f>
        <v>0</v>
      </c>
      <c r="Q30" s="104">
        <f>SUMIFS('1 stopień 20_21'!$I$9:$I$773,'1 stopień 20_21'!$G$9:$G$773,D30,'1 stopień 20_21'!$K$9:$K$773,"CKZ Dobrodzień")</f>
        <v>5</v>
      </c>
      <c r="R30" s="104">
        <f>SUMIFS('1 stopień 20_21'!$I$9:$I$773,'1 stopień 20_21'!$G$9:$G$773,D30,'1 stopień 20_21'!$K$9:$K$773,"CKZ Głubczyce")</f>
        <v>0</v>
      </c>
      <c r="S30" s="104">
        <f>SUMIFS('1 stopień 20_21'!$I$9:$I$773,'1 stopień 20_21'!$G$9:$G$773,D30,'1 stopień 20_21'!$K$9:$K$773,"CKZ Kędzierzyn Kożle")</f>
        <v>0</v>
      </c>
      <c r="T30" s="104">
        <f>SUMIFS('1 stopień 20_21'!$I$9:$I$773,'1 stopień 20_21'!$G$9:$G$773,D30,'1 stopień 20_21'!$K$9:$K$773,"CKZ Kluczbork")</f>
        <v>0</v>
      </c>
      <c r="U30" s="104">
        <f>SUMIFS('1 stopień 20_21'!$I$9:$I$773,'1 stopień 20_21'!$G$9:$G$773,D30,'1 stopień 20_21'!$K$9:$K$773,"CKZ Krotoszyn")</f>
        <v>0</v>
      </c>
      <c r="V30" s="104">
        <f>SUMIFS('1 stopień 20_21'!$I$9:$I$773,'1 stopień 20_21'!$G$9:$G$773,D30,'1 stopień 20_21'!$K$9:$K$773,"CKZ Olkusz")</f>
        <v>0</v>
      </c>
      <c r="W30" s="104">
        <f>SUMIFS('1 stopień 20_21'!$I$9:$I$773,'1 stopień 20_21'!$G$9:$G$773,D30,'1 stopień 20_21'!$K$9:$K$773,"CKZ Wschowa")</f>
        <v>1</v>
      </c>
      <c r="X30" s="104">
        <f>SUMIFS('1 stopień 20_21'!$I$9:$I$773,'1 stopień 20_21'!$G$9:$G$773,D30,'1 stopień 20_21'!$K$9:$K$773,"CKZ Zielona Góra")</f>
        <v>0</v>
      </c>
      <c r="Y30" s="104">
        <f>SUMIFS('1 stopień 20_21'!$I$9:$I$773,'1 stopień 20_21'!$G$9:$G$773,D30,'1 stopień 20_21'!$K$9:$K$773,"Rzemieślnicza Wałbrzych")</f>
        <v>0</v>
      </c>
      <c r="Z30" s="104">
        <f>SUMIFS('1 stopień 20_21'!$I$9:$I$773,'1 stopień 20_21'!$G$9:$G$773,D30,'1 stopień 20_21'!$K$9:$K$773,"CKZ Mosina")</f>
        <v>0</v>
      </c>
      <c r="AA30" s="104">
        <f>SUMIFS('1 stopień 20_21'!$I$9:$I$773,'1 stopień 20_21'!$G$9:$G$773,D30,'1 stopień 20_21'!$K$9:$K$773,"CKZ Słupsk")</f>
        <v>0</v>
      </c>
      <c r="AB30" s="104">
        <f>SUMIFS('1 stopień 20_21'!$I$9:$I$773,'1 stopień 20_21'!$G$9:$G$773,D30,'1 stopień 20_21'!$K$9:$K$773,"Toyota")</f>
        <v>0</v>
      </c>
      <c r="AC30" s="104">
        <f>SUMIFS('1 stopień 20_21'!$I$9:$I$773,'1 stopień 20_21'!$G$9:$G$773,D30,'1 stopień 20_21'!$K$9:$K$773,"CKZ Wrocław")</f>
        <v>0</v>
      </c>
      <c r="AD30" s="104">
        <f>SUMIFS('1 stopień 20_21'!$I$9:$I$773,'1 stopień 20_21'!$G$9:$G$773,D30,'1 stopień 20_21'!$K$9:$K$773,"CKZ Opole")</f>
        <v>0</v>
      </c>
      <c r="AE30" s="104">
        <f>SUMIFS('1 stopień 20_21'!$I$9:$I$773,'1 stopień 20_21'!$G$9:$G$773,D30,'1 stopień 20_21'!$K$9:$K$773,"Chojnów")</f>
        <v>0</v>
      </c>
      <c r="AF30" s="104">
        <f>SUMIFS('1 stopień 20_21'!$I$9:$I$773,'1 stopień 20_21'!$G$9:$G$773,D30,'1 stopień 20_21'!$K$9:$K$773,"")</f>
        <v>0</v>
      </c>
      <c r="AG30" s="105">
        <f t="shared" si="0"/>
        <v>69</v>
      </c>
    </row>
    <row r="31" spans="2:33">
      <c r="B31" s="106" t="s">
        <v>239</v>
      </c>
      <c r="C31" s="107">
        <v>741201</v>
      </c>
      <c r="D31" s="107" t="s">
        <v>182</v>
      </c>
      <c r="E31" s="106" t="s">
        <v>714</v>
      </c>
      <c r="F31" s="103">
        <f>SUMIF('1 stopień 20_21'!G$9:G$773,D31,'1 stopień 20_21'!I$9:I$773)</f>
        <v>12</v>
      </c>
      <c r="G31" s="104">
        <f>SUMIFS('1 stopień 20_21'!$I$9:$I$773,'1 stopień 20_21'!$G$9:$G$773,D31,'1 stopień 20_21'!$K$9:$K$773,"CKZ Bielawa")</f>
        <v>0</v>
      </c>
      <c r="H31" s="104">
        <f>SUMIFS('1 stopień 20_21'!$I$9:$I$773,'1 stopień 20_21'!$G$9:$G$773,D31,'1 stopień 20_21'!$K$9:$K$773,"GCKZ Głogów")</f>
        <v>0</v>
      </c>
      <c r="I31" s="104">
        <f>SUMIFS('1 stopień 20_21'!$I$9:$I$773,'1 stopień 20_21'!$G$9:$G$773,D31,'1 stopień 20_21'!$K$9:$K$773,"CKZ Jawor")</f>
        <v>0</v>
      </c>
      <c r="J31" s="104">
        <f>SUMIFS('1 stopień 20_21'!$I$9:$I$773,'1 stopień 20_21'!$G$9:$G$773,D31,'1 stopień 20_21'!$K$9:$K$773,"JCKZ Jelenia Góra")</f>
        <v>0</v>
      </c>
      <c r="K31" s="104">
        <f>SUMIFS('1 stopień 20_21'!$I$9:$I$773,'1 stopień 20_21'!$G$9:$G$773,D31,'1 stopień 20_21'!$K$9:$K$773,"CKZ Kłodzko")</f>
        <v>0</v>
      </c>
      <c r="L31" s="104">
        <f>SUMIFS('1 stopień 20_21'!$I$9:$I$773,'1 stopień 20_21'!$G$9:$G$773,D31,'1 stopień 20_21'!$K$9:$K$773,"CKZ Legnica")</f>
        <v>0</v>
      </c>
      <c r="M31" s="104">
        <f>SUMIFS('1 stopień 20_21'!$I$9:$I$773,'1 stopień 20_21'!$G$9:$G$773,D31,'1 stopień 20_21'!$K$9:$K$773,"CKZ Oleśnica")</f>
        <v>0</v>
      </c>
      <c r="N31" s="104">
        <f>SUMIFS('1 stopień 20_21'!$I$9:$I$773,'1 stopień 20_21'!$G$9:$G$773,D31,'1 stopień 20_21'!$K$9:$K$773,"CKZ Świdnica")</f>
        <v>0</v>
      </c>
      <c r="O31" s="104">
        <f>SUMIFS('1 stopień 20_21'!$I$9:$I$773,'1 stopień 20_21'!$G$9:$G$773,D31,'1 stopień 20_21'!$K$9:$K$773,"CKZ Wołów")</f>
        <v>0</v>
      </c>
      <c r="P31" s="104">
        <f>SUMIFS('1 stopień 20_21'!$I$9:$I$773,'1 stopień 20_21'!$G$9:$G$773,D31,'1 stopień 20_21'!$K$9:$K$773,"CKZ Ziębice")</f>
        <v>0</v>
      </c>
      <c r="Q31" s="104">
        <f>SUMIFS('1 stopień 20_21'!$I$9:$I$773,'1 stopień 20_21'!$G$9:$G$773,D31,'1 stopień 20_21'!$K$9:$K$773,"CKZ Dobrodzień")</f>
        <v>0</v>
      </c>
      <c r="R31" s="104">
        <f>SUMIFS('1 stopień 20_21'!$I$9:$I$773,'1 stopień 20_21'!$G$9:$G$773,D31,'1 stopień 20_21'!$K$9:$K$773,"CKZ Głubczyce")</f>
        <v>0</v>
      </c>
      <c r="S31" s="104">
        <f>SUMIFS('1 stopień 20_21'!$I$9:$I$773,'1 stopień 20_21'!$G$9:$G$773,D31,'1 stopień 20_21'!$K$9:$K$773,"CKZ Kędzierzyn Kożle")</f>
        <v>0</v>
      </c>
      <c r="T31" s="104">
        <f>SUMIFS('1 stopień 20_21'!$I$9:$I$773,'1 stopień 20_21'!$G$9:$G$773,D31,'1 stopień 20_21'!$K$9:$K$773,"CKZ Kluczbork")</f>
        <v>0</v>
      </c>
      <c r="U31" s="104">
        <f>SUMIFS('1 stopień 20_21'!$I$9:$I$773,'1 stopień 20_21'!$G$9:$G$773,D31,'1 stopień 20_21'!$K$9:$K$773,"CKZ Krotoszyn")</f>
        <v>0</v>
      </c>
      <c r="V31" s="104">
        <f>SUMIFS('1 stopień 20_21'!$I$9:$I$773,'1 stopień 20_21'!$G$9:$G$773,D31,'1 stopień 20_21'!$K$9:$K$773,"CKZ Olkusz")</f>
        <v>0</v>
      </c>
      <c r="W31" s="104">
        <f>SUMIFS('1 stopień 20_21'!$I$9:$I$773,'1 stopień 20_21'!$G$9:$G$773,D31,'1 stopień 20_21'!$K$9:$K$773,"CKZ Wschowa")</f>
        <v>12</v>
      </c>
      <c r="X31" s="104">
        <f>SUMIFS('1 stopień 20_21'!$I$9:$I$773,'1 stopień 20_21'!$G$9:$G$773,D31,'1 stopień 20_21'!$K$9:$K$773,"CKZ Zielona Góra")</f>
        <v>0</v>
      </c>
      <c r="Y31" s="104">
        <f>SUMIFS('1 stopień 20_21'!$I$9:$I$773,'1 stopień 20_21'!$G$9:$G$773,D31,'1 stopień 20_21'!$K$9:$K$773,"Rzemieślnicza Wałbrzych")</f>
        <v>0</v>
      </c>
      <c r="Z31" s="104">
        <f>SUMIFS('1 stopień 20_21'!$I$9:$I$773,'1 stopień 20_21'!$G$9:$G$773,D31,'1 stopień 20_21'!$K$9:$K$773,"CKZ Mosina")</f>
        <v>0</v>
      </c>
      <c r="AA31" s="104">
        <f>SUMIFS('1 stopień 20_21'!$I$9:$I$773,'1 stopień 20_21'!$G$9:$G$773,D31,'1 stopień 20_21'!$K$9:$K$773,"CKZ Słupsk")</f>
        <v>0</v>
      </c>
      <c r="AB31" s="104">
        <f>SUMIFS('1 stopień 20_21'!$I$9:$I$773,'1 stopień 20_21'!$G$9:$G$773,D31,'1 stopień 20_21'!$K$9:$K$773,"Toyota")</f>
        <v>0</v>
      </c>
      <c r="AC31" s="104">
        <f>SUMIFS('1 stopień 20_21'!$I$9:$I$773,'1 stopień 20_21'!$G$9:$G$773,D31,'1 stopień 20_21'!$K$9:$K$773,"CKZ Wrocław")</f>
        <v>0</v>
      </c>
      <c r="AD31" s="104">
        <f>SUMIFS('1 stopień 20_21'!$I$9:$I$773,'1 stopień 20_21'!$G$9:$G$773,D31,'1 stopień 20_21'!$K$9:$K$773,"CKZ Opole")</f>
        <v>0</v>
      </c>
      <c r="AE31" s="104">
        <f>SUMIFS('1 stopień 20_21'!$I$9:$I$773,'1 stopień 20_21'!$G$9:$G$773,D31,'1 stopień 20_21'!$K$9:$K$773,"Chojnów")</f>
        <v>0</v>
      </c>
      <c r="AF31" s="104">
        <f>SUMIFS('1 stopień 20_21'!$I$9:$I$773,'1 stopień 20_21'!$G$9:$G$773,D31,'1 stopień 20_21'!$K$9:$K$773,"")</f>
        <v>0</v>
      </c>
      <c r="AG31" s="105">
        <f t="shared" si="0"/>
        <v>12</v>
      </c>
    </row>
    <row r="32" spans="2:33">
      <c r="B32" s="106" t="s">
        <v>87</v>
      </c>
      <c r="C32" s="107">
        <v>741103</v>
      </c>
      <c r="D32" s="107" t="s">
        <v>54</v>
      </c>
      <c r="E32" s="106" t="s">
        <v>715</v>
      </c>
      <c r="F32" s="103">
        <f>SUMIF('1 stopień 20_21'!G$9:G$773,D32,'1 stopień 20_21'!I$9:I$773)</f>
        <v>119</v>
      </c>
      <c r="G32" s="104">
        <f>SUMIFS('1 stopień 20_21'!$I$9:$I$773,'1 stopień 20_21'!$G$9:$G$773,D32,'1 stopień 20_21'!$K$9:$K$773,"CKZ Bielawa")</f>
        <v>0</v>
      </c>
      <c r="H32" s="104">
        <f>SUMIFS('1 stopień 20_21'!$I$9:$I$773,'1 stopień 20_21'!$G$9:$G$773,D32,'1 stopień 20_21'!$K$9:$K$773,"GCKZ Głogów")</f>
        <v>0</v>
      </c>
      <c r="I32" s="104">
        <f>SUMIFS('1 stopień 20_21'!$I$9:$I$773,'1 stopień 20_21'!$G$9:$G$773,D32,'1 stopień 20_21'!$K$9:$K$773,"CKZ Jawor")</f>
        <v>0</v>
      </c>
      <c r="J32" s="104">
        <f>SUMIFS('1 stopień 20_21'!$I$9:$I$773,'1 stopień 20_21'!$G$9:$G$773,D32,'1 stopień 20_21'!$K$9:$K$773,"JCKZ Jelenia Góra")</f>
        <v>0</v>
      </c>
      <c r="K32" s="104">
        <f>SUMIFS('1 stopień 20_21'!$I$9:$I$773,'1 stopień 20_21'!$G$9:$G$773,D32,'1 stopień 20_21'!$K$9:$K$773,"CKZ Kłodzko")</f>
        <v>0</v>
      </c>
      <c r="L32" s="104">
        <f>SUMIFS('1 stopień 20_21'!$I$9:$I$773,'1 stopień 20_21'!$G$9:$G$773,D32,'1 stopień 20_21'!$K$9:$K$773,"CKZ Legnica")</f>
        <v>0</v>
      </c>
      <c r="M32" s="104">
        <f>SUMIFS('1 stopień 20_21'!$I$9:$I$773,'1 stopień 20_21'!$G$9:$G$773,D32,'1 stopień 20_21'!$K$9:$K$773,"CKZ Oleśnica")</f>
        <v>42</v>
      </c>
      <c r="N32" s="104">
        <f>SUMIFS('1 stopień 20_21'!$I$9:$I$773,'1 stopień 20_21'!$G$9:$G$773,D32,'1 stopień 20_21'!$K$9:$K$773,"CKZ Świdnica")</f>
        <v>59</v>
      </c>
      <c r="O32" s="104">
        <f>SUMIFS('1 stopień 20_21'!$I$9:$I$773,'1 stopień 20_21'!$G$9:$G$773,D32,'1 stopień 20_21'!$K$9:$K$773,"CKZ Wołów")</f>
        <v>0</v>
      </c>
      <c r="P32" s="104">
        <f>SUMIFS('1 stopień 20_21'!$I$9:$I$773,'1 stopień 20_21'!$G$9:$G$773,D32,'1 stopień 20_21'!$K$9:$K$773,"CKZ Ziębice")</f>
        <v>0</v>
      </c>
      <c r="Q32" s="104">
        <f>SUMIFS('1 stopień 20_21'!$I$9:$I$773,'1 stopień 20_21'!$G$9:$G$773,D32,'1 stopień 20_21'!$K$9:$K$773,"CKZ Dobrodzień")</f>
        <v>0</v>
      </c>
      <c r="R32" s="104">
        <f>SUMIFS('1 stopień 20_21'!$I$9:$I$773,'1 stopień 20_21'!$G$9:$G$773,D32,'1 stopień 20_21'!$K$9:$K$773,"CKZ Głubczyce")</f>
        <v>0</v>
      </c>
      <c r="S32" s="104">
        <f>SUMIFS('1 stopień 20_21'!$I$9:$I$773,'1 stopień 20_21'!$G$9:$G$773,D32,'1 stopień 20_21'!$K$9:$K$773,"CKZ Kędzierzyn Kożle")</f>
        <v>0</v>
      </c>
      <c r="T32" s="104">
        <f>SUMIFS('1 stopień 20_21'!$I$9:$I$773,'1 stopień 20_21'!$G$9:$G$773,D32,'1 stopień 20_21'!$K$9:$K$773,"CKZ Kluczbork")</f>
        <v>0</v>
      </c>
      <c r="U32" s="104">
        <f>SUMIFS('1 stopień 20_21'!$I$9:$I$773,'1 stopień 20_21'!$G$9:$G$773,D32,'1 stopień 20_21'!$K$9:$K$773,"CKZ Krotoszyn")</f>
        <v>0</v>
      </c>
      <c r="V32" s="104">
        <f>SUMIFS('1 stopień 20_21'!$I$9:$I$773,'1 stopień 20_21'!$G$9:$G$773,D32,'1 stopień 20_21'!$K$9:$K$773,"CKZ Olkusz")</f>
        <v>0</v>
      </c>
      <c r="W32" s="104">
        <f>SUMIFS('1 stopień 20_21'!$I$9:$I$773,'1 stopień 20_21'!$G$9:$G$773,D32,'1 stopień 20_21'!$K$9:$K$773,"CKZ Wschowa")</f>
        <v>18</v>
      </c>
      <c r="X32" s="104">
        <f>SUMIFS('1 stopień 20_21'!$I$9:$I$773,'1 stopień 20_21'!$G$9:$G$773,D32,'1 stopień 20_21'!$K$9:$K$773,"CKZ Zielona Góra")</f>
        <v>0</v>
      </c>
      <c r="Y32" s="104">
        <f>SUMIFS('1 stopień 20_21'!$I$9:$I$773,'1 stopień 20_21'!$G$9:$G$773,D32,'1 stopień 20_21'!$K$9:$K$773,"Rzemieślnicza Wałbrzych")</f>
        <v>0</v>
      </c>
      <c r="Z32" s="104">
        <f>SUMIFS('1 stopień 20_21'!$I$9:$I$773,'1 stopień 20_21'!$G$9:$G$773,D32,'1 stopień 20_21'!$K$9:$K$773,"CKZ Mosina")</f>
        <v>0</v>
      </c>
      <c r="AA32" s="104">
        <f>SUMIFS('1 stopień 20_21'!$I$9:$I$773,'1 stopień 20_21'!$G$9:$G$773,D32,'1 stopień 20_21'!$K$9:$K$773,"CKZ Słupsk")</f>
        <v>0</v>
      </c>
      <c r="AB32" s="104">
        <f>SUMIFS('1 stopień 20_21'!$I$9:$I$773,'1 stopień 20_21'!$G$9:$G$773,D32,'1 stopień 20_21'!$K$9:$K$773,"Toyota")</f>
        <v>0</v>
      </c>
      <c r="AC32" s="104">
        <f>SUMIFS('1 stopień 20_21'!$I$9:$I$773,'1 stopień 20_21'!$G$9:$G$773,D32,'1 stopień 20_21'!$K$9:$K$773,"CKZ Wrocław")</f>
        <v>0</v>
      </c>
      <c r="AD32" s="104">
        <f>SUMIFS('1 stopień 20_21'!$I$9:$I$773,'1 stopień 20_21'!$G$9:$G$773,D32,'1 stopień 20_21'!$K$9:$K$773,"CKZ Opole")</f>
        <v>0</v>
      </c>
      <c r="AE32" s="104">
        <f>SUMIFS('1 stopień 20_21'!$I$9:$I$773,'1 stopień 20_21'!$G$9:$G$773,D32,'1 stopień 20_21'!$K$9:$K$773,"Chojnów")</f>
        <v>0</v>
      </c>
      <c r="AF32" s="104">
        <f>SUMIFS('1 stopień 20_21'!$I$9:$I$773,'1 stopień 20_21'!$G$9:$G$773,D32,'1 stopień 20_21'!$K$9:$K$773,"")</f>
        <v>0</v>
      </c>
      <c r="AG32" s="105">
        <f t="shared" si="0"/>
        <v>119</v>
      </c>
    </row>
    <row r="33" spans="2:33">
      <c r="B33" s="106" t="s">
        <v>610</v>
      </c>
      <c r="C33" s="107">
        <v>731107</v>
      </c>
      <c r="D33" s="107" t="s">
        <v>1375</v>
      </c>
      <c r="E33" s="106" t="s">
        <v>717</v>
      </c>
      <c r="F33" s="103">
        <f>SUMIF('1 stopień 20_21'!G$9:G$773,D33,'1 stopień 20_21'!I$9:I$773)</f>
        <v>0</v>
      </c>
      <c r="G33" s="104">
        <f>SUMIFS('1 stopień 20_21'!$I$9:$I$773,'1 stopień 20_21'!$G$9:$G$773,D33,'1 stopień 20_21'!$K$9:$K$773,"CKZ Bielawa")</f>
        <v>0</v>
      </c>
      <c r="H33" s="104">
        <f>SUMIFS('1 stopień 20_21'!$I$9:$I$773,'1 stopień 20_21'!$G$9:$G$773,D33,'1 stopień 20_21'!$K$9:$K$773,"GCKZ Głogów")</f>
        <v>0</v>
      </c>
      <c r="I33" s="104">
        <f>SUMIFS('1 stopień 20_21'!$I$9:$I$773,'1 stopień 20_21'!$G$9:$G$773,D33,'1 stopień 20_21'!$K$9:$K$773,"CKZ Jawor")</f>
        <v>0</v>
      </c>
      <c r="J33" s="104">
        <f>SUMIFS('1 stopień 20_21'!$I$9:$I$773,'1 stopień 20_21'!$G$9:$G$773,D33,'1 stopień 20_21'!$K$9:$K$773,"JCKZ Jelenia Góra")</f>
        <v>0</v>
      </c>
      <c r="K33" s="104">
        <f>SUMIFS('1 stopień 20_21'!$I$9:$I$773,'1 stopień 20_21'!$G$9:$G$773,D33,'1 stopień 20_21'!$K$9:$K$773,"CKZ Kłodzko")</f>
        <v>0</v>
      </c>
      <c r="L33" s="104">
        <f>SUMIFS('1 stopień 20_21'!$I$9:$I$773,'1 stopień 20_21'!$G$9:$G$773,D33,'1 stopień 20_21'!$K$9:$K$773,"CKZ Legnica")</f>
        <v>0</v>
      </c>
      <c r="M33" s="104">
        <f>SUMIFS('1 stopień 20_21'!$I$9:$I$773,'1 stopień 20_21'!$G$9:$G$773,D33,'1 stopień 20_21'!$K$9:$K$773,"CKZ Oleśnica")</f>
        <v>0</v>
      </c>
      <c r="N33" s="104">
        <f>SUMIFS('1 stopień 20_21'!$I$9:$I$773,'1 stopień 20_21'!$G$9:$G$773,D33,'1 stopień 20_21'!$K$9:$K$773,"CKZ Świdnica")</f>
        <v>0</v>
      </c>
      <c r="O33" s="104">
        <f>SUMIFS('1 stopień 20_21'!$I$9:$I$773,'1 stopień 20_21'!$G$9:$G$773,D33,'1 stopień 20_21'!$K$9:$K$773,"CKZ Wołów")</f>
        <v>0</v>
      </c>
      <c r="P33" s="104">
        <f>SUMIFS('1 stopień 20_21'!$I$9:$I$773,'1 stopień 20_21'!$G$9:$G$773,D33,'1 stopień 20_21'!$K$9:$K$773,"CKZ Ziębice")</f>
        <v>0</v>
      </c>
      <c r="Q33" s="104">
        <f>SUMIFS('1 stopień 20_21'!$I$9:$I$773,'1 stopień 20_21'!$G$9:$G$773,D33,'1 stopień 20_21'!$K$9:$K$773,"CKZ Dobrodzień")</f>
        <v>0</v>
      </c>
      <c r="R33" s="104">
        <f>SUMIFS('1 stopień 20_21'!$I$9:$I$773,'1 stopień 20_21'!$G$9:$G$773,D33,'1 stopień 20_21'!$K$9:$K$773,"CKZ Głubczyce")</f>
        <v>0</v>
      </c>
      <c r="S33" s="104">
        <f>SUMIFS('1 stopień 20_21'!$I$9:$I$773,'1 stopień 20_21'!$G$9:$G$773,D33,'1 stopień 20_21'!$K$9:$K$773,"CKZ Kędzierzyn Kożle")</f>
        <v>0</v>
      </c>
      <c r="T33" s="104">
        <f>SUMIFS('1 stopień 20_21'!$I$9:$I$773,'1 stopień 20_21'!$G$9:$G$773,D33,'1 stopień 20_21'!$K$9:$K$773,"CKZ Kluczbork")</f>
        <v>0</v>
      </c>
      <c r="U33" s="104">
        <f>SUMIFS('1 stopień 20_21'!$I$9:$I$773,'1 stopień 20_21'!$G$9:$G$773,D33,'1 stopień 20_21'!$K$9:$K$773,"CKZ Krotoszyn")</f>
        <v>0</v>
      </c>
      <c r="V33" s="104">
        <f>SUMIFS('1 stopień 20_21'!$I$9:$I$773,'1 stopień 20_21'!$G$9:$G$773,D33,'1 stopień 20_21'!$K$9:$K$773,"CKZ Olkusz")</f>
        <v>0</v>
      </c>
      <c r="W33" s="104">
        <f>SUMIFS('1 stopień 20_21'!$I$9:$I$773,'1 stopień 20_21'!$G$9:$G$773,D33,'1 stopień 20_21'!$K$9:$K$773,"CKZ Wschowa")</f>
        <v>0</v>
      </c>
      <c r="X33" s="104">
        <f>SUMIFS('1 stopień 20_21'!$I$9:$I$773,'1 stopień 20_21'!$G$9:$G$773,D33,'1 stopień 20_21'!$K$9:$K$773,"CKZ Zielona Góra")</f>
        <v>0</v>
      </c>
      <c r="Y33" s="104">
        <f>SUMIFS('1 stopień 20_21'!$I$9:$I$773,'1 stopień 20_21'!$G$9:$G$773,D33,'1 stopień 20_21'!$K$9:$K$773,"Rzemieślnicza Wałbrzych")</f>
        <v>0</v>
      </c>
      <c r="Z33" s="104">
        <f>SUMIFS('1 stopień 20_21'!$I$9:$I$773,'1 stopień 20_21'!$G$9:$G$773,D33,'1 stopień 20_21'!$K$9:$K$773,"CKZ Mosina")</f>
        <v>0</v>
      </c>
      <c r="AA33" s="104">
        <f>SUMIFS('1 stopień 20_21'!$I$9:$I$773,'1 stopień 20_21'!$G$9:$G$773,D33,'1 stopień 20_21'!$K$9:$K$773,"CKZ Słupsk")</f>
        <v>0</v>
      </c>
      <c r="AB33" s="104">
        <f>SUMIFS('1 stopień 20_21'!$I$9:$I$773,'1 stopień 20_21'!$G$9:$G$773,D33,'1 stopień 20_21'!$K$9:$K$773,"Toyota")</f>
        <v>0</v>
      </c>
      <c r="AC33" s="104">
        <f>SUMIFS('1 stopień 20_21'!$I$9:$I$773,'1 stopień 20_21'!$G$9:$G$773,D33,'1 stopień 20_21'!$K$9:$K$773,"CKZ Wrocław")</f>
        <v>0</v>
      </c>
      <c r="AD33" s="104">
        <f>SUMIFS('1 stopień 20_21'!$I$9:$I$773,'1 stopień 20_21'!$G$9:$G$773,D33,'1 stopień 20_21'!$K$9:$K$773,"CKZ Opole")</f>
        <v>0</v>
      </c>
      <c r="AE33" s="104">
        <f>SUMIFS('1 stopień 20_21'!$I$9:$I$773,'1 stopień 20_21'!$G$9:$G$773,D33,'1 stopień 20_21'!$K$9:$K$773,"Chojnów")</f>
        <v>0</v>
      </c>
      <c r="AF33" s="104">
        <f>SUMIFS('1 stopień 20_21'!$I$9:$I$773,'1 stopień 20_21'!$G$9:$G$773,D33,'1 stopień 20_21'!$K$9:$K$773,"")</f>
        <v>0</v>
      </c>
      <c r="AG33" s="105">
        <f t="shared" si="0"/>
        <v>0</v>
      </c>
    </row>
    <row r="34" spans="2:33">
      <c r="B34" s="106" t="s">
        <v>216</v>
      </c>
      <c r="C34" s="107">
        <v>742117</v>
      </c>
      <c r="D34" s="107" t="s">
        <v>221</v>
      </c>
      <c r="E34" s="106" t="s">
        <v>719</v>
      </c>
      <c r="F34" s="103">
        <f>SUMIF('1 stopień 20_21'!G$9:G$773,D34,'1 stopień 20_21'!I$9:I$773)</f>
        <v>4</v>
      </c>
      <c r="G34" s="104">
        <f>SUMIFS('1 stopień 20_21'!$I$9:$I$773,'1 stopień 20_21'!$G$9:$G$773,D34,'1 stopień 20_21'!$K$9:$K$773,"CKZ Bielawa")</f>
        <v>0</v>
      </c>
      <c r="H34" s="104">
        <f>SUMIFS('1 stopień 20_21'!$I$9:$I$773,'1 stopień 20_21'!$G$9:$G$773,D34,'1 stopień 20_21'!$K$9:$K$773,"GCKZ Głogów")</f>
        <v>0</v>
      </c>
      <c r="I34" s="104">
        <f>SUMIFS('1 stopień 20_21'!$I$9:$I$773,'1 stopień 20_21'!$G$9:$G$773,D34,'1 stopień 20_21'!$K$9:$K$773,"CKZ Jawor")</f>
        <v>0</v>
      </c>
      <c r="J34" s="104">
        <f>SUMIFS('1 stopień 20_21'!$I$9:$I$773,'1 stopień 20_21'!$G$9:$G$773,D34,'1 stopień 20_21'!$K$9:$K$773,"JCKZ Jelenia Góra")</f>
        <v>0</v>
      </c>
      <c r="K34" s="104">
        <f>SUMIFS('1 stopień 20_21'!$I$9:$I$773,'1 stopień 20_21'!$G$9:$G$773,D34,'1 stopień 20_21'!$K$9:$K$773,"CKZ Kłodzko")</f>
        <v>0</v>
      </c>
      <c r="L34" s="104">
        <f>SUMIFS('1 stopień 20_21'!$I$9:$I$773,'1 stopień 20_21'!$G$9:$G$773,D34,'1 stopień 20_21'!$K$9:$K$773,"CKZ Legnica")</f>
        <v>0</v>
      </c>
      <c r="M34" s="104">
        <f>SUMIFS('1 stopień 20_21'!$I$9:$I$773,'1 stopień 20_21'!$G$9:$G$773,D34,'1 stopień 20_21'!$K$9:$K$773,"CKZ Oleśnica")</f>
        <v>0</v>
      </c>
      <c r="N34" s="104">
        <f>SUMIFS('1 stopień 20_21'!$I$9:$I$773,'1 stopień 20_21'!$G$9:$G$773,D34,'1 stopień 20_21'!$K$9:$K$773,"CKZ Świdnica")</f>
        <v>0</v>
      </c>
      <c r="O34" s="104">
        <f>SUMIFS('1 stopień 20_21'!$I$9:$I$773,'1 stopień 20_21'!$G$9:$G$773,D34,'1 stopień 20_21'!$K$9:$K$773,"CKZ Wołów")</f>
        <v>0</v>
      </c>
      <c r="P34" s="104">
        <f>SUMIFS('1 stopień 20_21'!$I$9:$I$773,'1 stopień 20_21'!$G$9:$G$773,D34,'1 stopień 20_21'!$K$9:$K$773,"CKZ Ziębice")</f>
        <v>0</v>
      </c>
      <c r="Q34" s="104">
        <f>SUMIFS('1 stopień 20_21'!$I$9:$I$773,'1 stopień 20_21'!$G$9:$G$773,D34,'1 stopień 20_21'!$K$9:$K$773,"CKZ Dobrodzień")</f>
        <v>0</v>
      </c>
      <c r="R34" s="104">
        <f>SUMIFS('1 stopień 20_21'!$I$9:$I$773,'1 stopień 20_21'!$G$9:$G$773,D34,'1 stopień 20_21'!$K$9:$K$773,"CKZ Głubczyce")</f>
        <v>0</v>
      </c>
      <c r="S34" s="104">
        <f>SUMIFS('1 stopień 20_21'!$I$9:$I$773,'1 stopień 20_21'!$G$9:$G$773,D34,'1 stopień 20_21'!$K$9:$K$773,"CKZ Kędzierzyn Kożle")</f>
        <v>0</v>
      </c>
      <c r="T34" s="104">
        <f>SUMIFS('1 stopień 20_21'!$I$9:$I$773,'1 stopień 20_21'!$G$9:$G$773,D34,'1 stopień 20_21'!$K$9:$K$773,"CKZ Kluczbork")</f>
        <v>0</v>
      </c>
      <c r="U34" s="104">
        <f>SUMIFS('1 stopień 20_21'!$I$9:$I$773,'1 stopień 20_21'!$G$9:$G$773,D34,'1 stopień 20_21'!$K$9:$K$773,"CKZ Krotoszyn")</f>
        <v>0</v>
      </c>
      <c r="V34" s="104">
        <f>SUMIFS('1 stopień 20_21'!$I$9:$I$773,'1 stopień 20_21'!$G$9:$G$773,D34,'1 stopień 20_21'!$K$9:$K$773,"CKZ Olkusz")</f>
        <v>0</v>
      </c>
      <c r="W34" s="104">
        <f>SUMIFS('1 stopień 20_21'!$I$9:$I$773,'1 stopień 20_21'!$G$9:$G$773,D34,'1 stopień 20_21'!$K$9:$K$773,"CKZ Wschowa")</f>
        <v>4</v>
      </c>
      <c r="X34" s="104">
        <f>SUMIFS('1 stopień 20_21'!$I$9:$I$773,'1 stopień 20_21'!$G$9:$G$773,D34,'1 stopień 20_21'!$K$9:$K$773,"CKZ Zielona Góra")</f>
        <v>0</v>
      </c>
      <c r="Y34" s="104">
        <f>SUMIFS('1 stopień 20_21'!$I$9:$I$773,'1 stopień 20_21'!$G$9:$G$773,D34,'1 stopień 20_21'!$K$9:$K$773,"Rzemieślnicza Wałbrzych")</f>
        <v>0</v>
      </c>
      <c r="Z34" s="104">
        <f>SUMIFS('1 stopień 20_21'!$I$9:$I$773,'1 stopień 20_21'!$G$9:$G$773,D34,'1 stopień 20_21'!$K$9:$K$773,"CKZ Mosina")</f>
        <v>0</v>
      </c>
      <c r="AA34" s="104">
        <f>SUMIFS('1 stopień 20_21'!$I$9:$I$773,'1 stopień 20_21'!$G$9:$G$773,D34,'1 stopień 20_21'!$K$9:$K$773,"CKZ Słupsk")</f>
        <v>0</v>
      </c>
      <c r="AB34" s="104">
        <f>SUMIFS('1 stopień 20_21'!$I$9:$I$773,'1 stopień 20_21'!$G$9:$G$773,D34,'1 stopień 20_21'!$K$9:$K$773,"Toyota")</f>
        <v>0</v>
      </c>
      <c r="AC34" s="104">
        <f>SUMIFS('1 stopień 20_21'!$I$9:$I$773,'1 stopień 20_21'!$G$9:$G$773,D34,'1 stopień 20_21'!$K$9:$K$773,"CKZ Wrocław")</f>
        <v>0</v>
      </c>
      <c r="AD34" s="104">
        <f>SUMIFS('1 stopień 20_21'!$I$9:$I$773,'1 stopień 20_21'!$G$9:$G$773,D34,'1 stopień 20_21'!$K$9:$K$773,"CKZ Opole")</f>
        <v>0</v>
      </c>
      <c r="AE34" s="104">
        <f>SUMIFS('1 stopień 20_21'!$I$9:$I$773,'1 stopień 20_21'!$G$9:$G$773,D34,'1 stopień 20_21'!$K$9:$K$773,"Chojnów")</f>
        <v>0</v>
      </c>
      <c r="AF34" s="104">
        <f>SUMIFS('1 stopień 20_21'!$I$9:$I$773,'1 stopień 20_21'!$G$9:$G$773,D34,'1 stopień 20_21'!$K$9:$K$773,"")</f>
        <v>0</v>
      </c>
      <c r="AG34" s="105">
        <f t="shared" si="0"/>
        <v>4</v>
      </c>
    </row>
    <row r="35" spans="2:33">
      <c r="B35" s="106" t="s">
        <v>611</v>
      </c>
      <c r="C35" s="107">
        <v>742118</v>
      </c>
      <c r="D35" s="107" t="s">
        <v>1370</v>
      </c>
      <c r="E35" s="106" t="s">
        <v>721</v>
      </c>
      <c r="F35" s="103">
        <f>SUMIF('1 stopień 20_21'!G$9:G$773,D35,'1 stopień 20_21'!I$9:I$773)</f>
        <v>12</v>
      </c>
      <c r="G35" s="104">
        <f>SUMIFS('1 stopień 20_21'!$I$9:$I$773,'1 stopień 20_21'!$G$9:$G$773,D35,'1 stopień 20_21'!$K$9:$K$773,"CKZ Bielawa")</f>
        <v>0</v>
      </c>
      <c r="H35" s="104">
        <f>SUMIFS('1 stopień 20_21'!$I$9:$I$773,'1 stopień 20_21'!$G$9:$G$773,D35,'1 stopień 20_21'!$K$9:$K$773,"GCKZ Głogów")</f>
        <v>0</v>
      </c>
      <c r="I35" s="104">
        <f>SUMIFS('1 stopień 20_21'!$I$9:$I$773,'1 stopień 20_21'!$G$9:$G$773,D35,'1 stopień 20_21'!$K$9:$K$773,"CKZ Jawor")</f>
        <v>0</v>
      </c>
      <c r="J35" s="104">
        <f>SUMIFS('1 stopień 20_21'!$I$9:$I$773,'1 stopień 20_21'!$G$9:$G$773,D35,'1 stopień 20_21'!$K$9:$K$773,"JCKZ Jelenia Góra")</f>
        <v>0</v>
      </c>
      <c r="K35" s="104">
        <f>SUMIFS('1 stopień 20_21'!$I$9:$I$773,'1 stopień 20_21'!$G$9:$G$773,D35,'1 stopień 20_21'!$K$9:$K$773,"CKZ Kłodzko")</f>
        <v>0</v>
      </c>
      <c r="L35" s="104">
        <f>SUMIFS('1 stopień 20_21'!$I$9:$I$773,'1 stopień 20_21'!$G$9:$G$773,D35,'1 stopień 20_21'!$K$9:$K$773,"CKZ Legnica")</f>
        <v>0</v>
      </c>
      <c r="M35" s="104">
        <f>SUMIFS('1 stopień 20_21'!$I$9:$I$773,'1 stopień 20_21'!$G$9:$G$773,D35,'1 stopień 20_21'!$K$9:$K$773,"CKZ Oleśnica")</f>
        <v>0</v>
      </c>
      <c r="N35" s="104">
        <f>SUMIFS('1 stopień 20_21'!$I$9:$I$773,'1 stopień 20_21'!$G$9:$G$773,D35,'1 stopień 20_21'!$K$9:$K$773,"CKZ Świdnica")</f>
        <v>0</v>
      </c>
      <c r="O35" s="104">
        <f>SUMIFS('1 stopień 20_21'!$I$9:$I$773,'1 stopień 20_21'!$G$9:$G$773,D35,'1 stopień 20_21'!$K$9:$K$773,"CKZ Wołów")</f>
        <v>0</v>
      </c>
      <c r="P35" s="104">
        <f>SUMIFS('1 stopień 20_21'!$I$9:$I$773,'1 stopień 20_21'!$G$9:$G$773,D35,'1 stopień 20_21'!$K$9:$K$773,"CKZ Ziębice")</f>
        <v>0</v>
      </c>
      <c r="Q35" s="104">
        <f>SUMIFS('1 stopień 20_21'!$I$9:$I$773,'1 stopień 20_21'!$G$9:$G$773,D35,'1 stopień 20_21'!$K$9:$K$773,"CKZ Dobrodzień")</f>
        <v>0</v>
      </c>
      <c r="R35" s="104">
        <f>SUMIFS('1 stopień 20_21'!$I$9:$I$773,'1 stopień 20_21'!$G$9:$G$773,D35,'1 stopień 20_21'!$K$9:$K$773,"CKZ Głubczyce")</f>
        <v>0</v>
      </c>
      <c r="S35" s="104">
        <f>SUMIFS('1 stopień 20_21'!$I$9:$I$773,'1 stopień 20_21'!$G$9:$G$773,D35,'1 stopień 20_21'!$K$9:$K$773,"CKZ Kędzierzyn Kożle")</f>
        <v>0</v>
      </c>
      <c r="T35" s="104">
        <f>SUMIFS('1 stopień 20_21'!$I$9:$I$773,'1 stopień 20_21'!$G$9:$G$773,D35,'1 stopień 20_21'!$K$9:$K$773,"CKZ Kluczbork")</f>
        <v>0</v>
      </c>
      <c r="U35" s="104">
        <f>SUMIFS('1 stopień 20_21'!$I$9:$I$773,'1 stopień 20_21'!$G$9:$G$773,D35,'1 stopień 20_21'!$K$9:$K$773,"CKZ Krotoszyn")</f>
        <v>0</v>
      </c>
      <c r="V35" s="104">
        <f>SUMIFS('1 stopień 20_21'!$I$9:$I$773,'1 stopień 20_21'!$G$9:$G$773,D35,'1 stopień 20_21'!$K$9:$K$773,"CKZ Olkusz")</f>
        <v>0</v>
      </c>
      <c r="W35" s="104">
        <f>SUMIFS('1 stopień 20_21'!$I$9:$I$773,'1 stopień 20_21'!$G$9:$G$773,D35,'1 stopień 20_21'!$K$9:$K$773,"CKZ Wschowa")</f>
        <v>0</v>
      </c>
      <c r="X35" s="104">
        <f>SUMIFS('1 stopień 20_21'!$I$9:$I$773,'1 stopień 20_21'!$G$9:$G$773,D35,'1 stopień 20_21'!$K$9:$K$773,"CKZ Zielona Góra")</f>
        <v>0</v>
      </c>
      <c r="Y35" s="104">
        <f>SUMIFS('1 stopień 20_21'!$I$9:$I$773,'1 stopień 20_21'!$G$9:$G$773,D35,'1 stopień 20_21'!$K$9:$K$773,"Rzemieślnicza Wałbrzych")</f>
        <v>0</v>
      </c>
      <c r="Z35" s="104">
        <f>SUMIFS('1 stopień 20_21'!$I$9:$I$773,'1 stopień 20_21'!$G$9:$G$773,D35,'1 stopień 20_21'!$K$9:$K$773,"CKZ Mosina")</f>
        <v>0</v>
      </c>
      <c r="AA35" s="104">
        <f>SUMIFS('1 stopień 20_21'!$I$9:$I$773,'1 stopień 20_21'!$G$9:$G$773,D35,'1 stopień 20_21'!$K$9:$K$773,"CKZ Słupsk")</f>
        <v>0</v>
      </c>
      <c r="AB35" s="104">
        <f>SUMIFS('1 stopień 20_21'!$I$9:$I$773,'1 stopień 20_21'!$G$9:$G$773,D35,'1 stopień 20_21'!$K$9:$K$773,"Toyota")</f>
        <v>12</v>
      </c>
      <c r="AC35" s="104">
        <f>SUMIFS('1 stopień 20_21'!$I$9:$I$773,'1 stopień 20_21'!$G$9:$G$773,D35,'1 stopień 20_21'!$K$9:$K$773,"CKZ Wrocław")</f>
        <v>0</v>
      </c>
      <c r="AD35" s="104">
        <f>SUMIFS('1 stopień 20_21'!$I$9:$I$773,'1 stopień 20_21'!$G$9:$G$773,D35,'1 stopień 20_21'!$K$9:$K$773,"CKZ Opole")</f>
        <v>0</v>
      </c>
      <c r="AE35" s="104">
        <f>SUMIFS('1 stopień 20_21'!$I$9:$I$773,'1 stopień 20_21'!$G$9:$G$773,D35,'1 stopień 20_21'!$K$9:$K$773,"Chojnów")</f>
        <v>0</v>
      </c>
      <c r="AF35" s="104">
        <f>SUMIFS('1 stopień 20_21'!$I$9:$I$773,'1 stopień 20_21'!$G$9:$G$773,D35,'1 stopień 20_21'!$K$9:$K$773,"")</f>
        <v>0</v>
      </c>
      <c r="AG35" s="105">
        <f t="shared" si="0"/>
        <v>12</v>
      </c>
    </row>
    <row r="36" spans="2:33">
      <c r="B36" s="106" t="s">
        <v>114</v>
      </c>
      <c r="C36" s="107">
        <v>514101</v>
      </c>
      <c r="D36" s="107" t="s">
        <v>77</v>
      </c>
      <c r="E36" s="106" t="s">
        <v>723</v>
      </c>
      <c r="F36" s="103">
        <f>SUMIF('1 stopień 20_21'!G$9:G$773,D36,'1 stopień 20_21'!I$9:I$773)</f>
        <v>356</v>
      </c>
      <c r="G36" s="104">
        <f>SUMIFS('1 stopień 20_21'!$I$9:$I$773,'1 stopień 20_21'!$G$9:$G$773,D36,'1 stopień 20_21'!$K$9:$K$773,"CKZ Bielawa")</f>
        <v>29</v>
      </c>
      <c r="H36" s="104">
        <f>SUMIFS('1 stopień 20_21'!$I$9:$I$773,'1 stopień 20_21'!$G$9:$G$773,D36,'1 stopień 20_21'!$K$9:$K$773,"GCKZ Głogów")</f>
        <v>0</v>
      </c>
      <c r="I36" s="104">
        <f>SUMIFS('1 stopień 20_21'!$I$9:$I$773,'1 stopień 20_21'!$G$9:$G$773,D36,'1 stopień 20_21'!$K$9:$K$773,"CKZ Jawor")</f>
        <v>0</v>
      </c>
      <c r="J36" s="104">
        <f>SUMIFS('1 stopień 20_21'!$I$9:$I$773,'1 stopień 20_21'!$G$9:$G$773,D36,'1 stopień 20_21'!$K$9:$K$773,"JCKZ Jelenia Góra")</f>
        <v>30</v>
      </c>
      <c r="K36" s="104">
        <f>SUMIFS('1 stopień 20_21'!$I$9:$I$773,'1 stopień 20_21'!$G$9:$G$773,D36,'1 stopień 20_21'!$K$9:$K$773,"CKZ Kłodzko")</f>
        <v>27</v>
      </c>
      <c r="L36" s="104">
        <f>SUMIFS('1 stopień 20_21'!$I$9:$I$773,'1 stopień 20_21'!$G$9:$G$773,D36,'1 stopień 20_21'!$K$9:$K$773,"CKZ Legnica")</f>
        <v>112</v>
      </c>
      <c r="M36" s="104">
        <f>SUMIFS('1 stopień 20_21'!$I$9:$I$773,'1 stopień 20_21'!$G$9:$G$773,D36,'1 stopień 20_21'!$K$9:$K$773,"CKZ Oleśnica")</f>
        <v>49</v>
      </c>
      <c r="N36" s="104">
        <f>SUMIFS('1 stopień 20_21'!$I$9:$I$773,'1 stopień 20_21'!$G$9:$G$773,D36,'1 stopień 20_21'!$K$9:$K$773,"CKZ Świdnica")</f>
        <v>61</v>
      </c>
      <c r="O36" s="104">
        <f>SUMIFS('1 stopień 20_21'!$I$9:$I$773,'1 stopień 20_21'!$G$9:$G$773,D36,'1 stopień 20_21'!$K$9:$K$773,"CKZ Wołów")</f>
        <v>0</v>
      </c>
      <c r="P36" s="104">
        <f>SUMIFS('1 stopień 20_21'!$I$9:$I$773,'1 stopień 20_21'!$G$9:$G$773,D36,'1 stopień 20_21'!$K$9:$K$773,"CKZ Ziębice")</f>
        <v>10</v>
      </c>
      <c r="Q36" s="104">
        <f>SUMIFS('1 stopień 20_21'!$I$9:$I$773,'1 stopień 20_21'!$G$9:$G$773,D36,'1 stopień 20_21'!$K$9:$K$773,"CKZ Dobrodzień")</f>
        <v>0</v>
      </c>
      <c r="R36" s="104">
        <f>SUMIFS('1 stopień 20_21'!$I$9:$I$773,'1 stopień 20_21'!$G$9:$G$773,D36,'1 stopień 20_21'!$K$9:$K$773,"CKZ Głubczyce")</f>
        <v>0</v>
      </c>
      <c r="S36" s="104">
        <f>SUMIFS('1 stopień 20_21'!$I$9:$I$773,'1 stopień 20_21'!$G$9:$G$773,D36,'1 stopień 20_21'!$K$9:$K$773,"CKZ Kędzierzyn Kożle")</f>
        <v>0</v>
      </c>
      <c r="T36" s="104">
        <f>SUMIFS('1 stopień 20_21'!$I$9:$I$773,'1 stopień 20_21'!$G$9:$G$773,D36,'1 stopień 20_21'!$K$9:$K$773,"CKZ Kluczbork")</f>
        <v>0</v>
      </c>
      <c r="U36" s="104">
        <f>SUMIFS('1 stopień 20_21'!$I$9:$I$773,'1 stopień 20_21'!$G$9:$G$773,D36,'1 stopień 20_21'!$K$9:$K$773,"CKZ Krotoszyn")</f>
        <v>0</v>
      </c>
      <c r="V36" s="104">
        <f>SUMIFS('1 stopień 20_21'!$I$9:$I$773,'1 stopień 20_21'!$G$9:$G$773,D36,'1 stopień 20_21'!$K$9:$K$773,"CKZ Olkusz")</f>
        <v>0</v>
      </c>
      <c r="W36" s="104">
        <f>SUMIFS('1 stopień 20_21'!$I$9:$I$773,'1 stopień 20_21'!$G$9:$G$773,D36,'1 stopień 20_21'!$K$9:$K$773,"CKZ Wschowa")</f>
        <v>11</v>
      </c>
      <c r="X36" s="104">
        <f>SUMIFS('1 stopień 20_21'!$I$9:$I$773,'1 stopień 20_21'!$G$9:$G$773,D36,'1 stopień 20_21'!$K$9:$K$773,"CKZ Zielona Góra")</f>
        <v>0</v>
      </c>
      <c r="Y36" s="104">
        <f>SUMIFS('1 stopień 20_21'!$I$9:$I$773,'1 stopień 20_21'!$G$9:$G$773,D36,'1 stopień 20_21'!$K$9:$K$773,"Rzemieślnicza Wałbrzych")</f>
        <v>0</v>
      </c>
      <c r="Z36" s="104">
        <f>SUMIFS('1 stopień 20_21'!$I$9:$I$773,'1 stopień 20_21'!$G$9:$G$773,D36,'1 stopień 20_21'!$K$9:$K$773,"CKZ Mosina")</f>
        <v>0</v>
      </c>
      <c r="AA36" s="104">
        <f>SUMIFS('1 stopień 20_21'!$I$9:$I$773,'1 stopień 20_21'!$G$9:$G$773,D36,'1 stopień 20_21'!$K$9:$K$773,"CKZ Słupsk")</f>
        <v>0</v>
      </c>
      <c r="AB36" s="104">
        <f>SUMIFS('1 stopień 20_21'!$I$9:$I$773,'1 stopień 20_21'!$G$9:$G$773,D36,'1 stopień 20_21'!$K$9:$K$773,"Toyota")</f>
        <v>0</v>
      </c>
      <c r="AC36" s="104">
        <f>SUMIFS('1 stopień 20_21'!$I$9:$I$773,'1 stopień 20_21'!$G$9:$G$773,D36,'1 stopień 20_21'!$K$9:$K$773,"CKZ Wrocław")</f>
        <v>27</v>
      </c>
      <c r="AD36" s="104">
        <f>SUMIFS('1 stopień 20_21'!$I$9:$I$773,'1 stopień 20_21'!$G$9:$G$773,D36,'1 stopień 20_21'!$K$9:$K$773,"CKZ Opole")</f>
        <v>0</v>
      </c>
      <c r="AE36" s="104">
        <f>SUMIFS('1 stopień 20_21'!$I$9:$I$773,'1 stopień 20_21'!$G$9:$G$773,D36,'1 stopień 20_21'!$K$9:$K$773,"Chojnów")</f>
        <v>0</v>
      </c>
      <c r="AF36" s="104">
        <f>SUMIFS('1 stopień 20_21'!$I$9:$I$773,'1 stopień 20_21'!$G$9:$G$773,D36,'1 stopień 20_21'!$K$9:$K$773,"")</f>
        <v>0</v>
      </c>
      <c r="AG36" s="105">
        <f t="shared" si="0"/>
        <v>356</v>
      </c>
    </row>
    <row r="37" spans="2:33">
      <c r="B37" s="106" t="s">
        <v>612</v>
      </c>
      <c r="C37" s="107">
        <v>932920</v>
      </c>
      <c r="D37" s="107" t="s">
        <v>1376</v>
      </c>
      <c r="E37" s="106" t="s">
        <v>725</v>
      </c>
      <c r="F37" s="103">
        <f>SUMIF('1 stopień 20_21'!G$9:G$773,D37,'1 stopień 20_21'!I$9:I$773)</f>
        <v>0</v>
      </c>
      <c r="G37" s="104">
        <f>SUMIFS('1 stopień 20_21'!$I$9:$I$773,'1 stopień 20_21'!$G$9:$G$773,D37,'1 stopień 20_21'!$K$9:$K$773,"CKZ Bielawa")</f>
        <v>0</v>
      </c>
      <c r="H37" s="104">
        <f>SUMIFS('1 stopień 20_21'!$I$9:$I$773,'1 stopień 20_21'!$G$9:$G$773,D37,'1 stopień 20_21'!$K$9:$K$773,"GCKZ Głogów")</f>
        <v>0</v>
      </c>
      <c r="I37" s="104">
        <f>SUMIFS('1 stopień 20_21'!$I$9:$I$773,'1 stopień 20_21'!$G$9:$G$773,D37,'1 stopień 20_21'!$K$9:$K$773,"CKZ Jawor")</f>
        <v>0</v>
      </c>
      <c r="J37" s="104">
        <f>SUMIFS('1 stopień 20_21'!$I$9:$I$773,'1 stopień 20_21'!$G$9:$G$773,D37,'1 stopień 20_21'!$K$9:$K$773,"JCKZ Jelenia Góra")</f>
        <v>0</v>
      </c>
      <c r="K37" s="104">
        <f>SUMIFS('1 stopień 20_21'!$I$9:$I$773,'1 stopień 20_21'!$G$9:$G$773,D37,'1 stopień 20_21'!$K$9:$K$773,"CKZ Kłodzko")</f>
        <v>0</v>
      </c>
      <c r="L37" s="104">
        <f>SUMIFS('1 stopień 20_21'!$I$9:$I$773,'1 stopień 20_21'!$G$9:$G$773,D37,'1 stopień 20_21'!$K$9:$K$773,"CKZ Legnica")</f>
        <v>0</v>
      </c>
      <c r="M37" s="104">
        <f>SUMIFS('1 stopień 20_21'!$I$9:$I$773,'1 stopień 20_21'!$G$9:$G$773,D37,'1 stopień 20_21'!$K$9:$K$773,"CKZ Oleśnica")</f>
        <v>0</v>
      </c>
      <c r="N37" s="104">
        <f>SUMIFS('1 stopień 20_21'!$I$9:$I$773,'1 stopień 20_21'!$G$9:$G$773,D37,'1 stopień 20_21'!$K$9:$K$773,"CKZ Świdnica")</f>
        <v>0</v>
      </c>
      <c r="O37" s="104">
        <f>SUMIFS('1 stopień 20_21'!$I$9:$I$773,'1 stopień 20_21'!$G$9:$G$773,D37,'1 stopień 20_21'!$K$9:$K$773,"CKZ Wołów")</f>
        <v>0</v>
      </c>
      <c r="P37" s="104">
        <f>SUMIFS('1 stopień 20_21'!$I$9:$I$773,'1 stopień 20_21'!$G$9:$G$773,D37,'1 stopień 20_21'!$K$9:$K$773,"CKZ Ziębice")</f>
        <v>0</v>
      </c>
      <c r="Q37" s="104">
        <f>SUMIFS('1 stopień 20_21'!$I$9:$I$773,'1 stopień 20_21'!$G$9:$G$773,D37,'1 stopień 20_21'!$K$9:$K$773,"CKZ Dobrodzień")</f>
        <v>0</v>
      </c>
      <c r="R37" s="104">
        <f>SUMIFS('1 stopień 20_21'!$I$9:$I$773,'1 stopień 20_21'!$G$9:$G$773,D37,'1 stopień 20_21'!$K$9:$K$773,"CKZ Głubczyce")</f>
        <v>0</v>
      </c>
      <c r="S37" s="104">
        <f>SUMIFS('1 stopień 20_21'!$I$9:$I$773,'1 stopień 20_21'!$G$9:$G$773,D37,'1 stopień 20_21'!$K$9:$K$773,"CKZ Kędzierzyn Kożle")</f>
        <v>0</v>
      </c>
      <c r="T37" s="104">
        <f>SUMIFS('1 stopień 20_21'!$I$9:$I$773,'1 stopień 20_21'!$G$9:$G$773,D37,'1 stopień 20_21'!$K$9:$K$773,"CKZ Kluczbork")</f>
        <v>0</v>
      </c>
      <c r="U37" s="104">
        <f>SUMIFS('1 stopień 20_21'!$I$9:$I$773,'1 stopień 20_21'!$G$9:$G$773,D37,'1 stopień 20_21'!$K$9:$K$773,"CKZ Krotoszyn")</f>
        <v>0</v>
      </c>
      <c r="V37" s="104">
        <f>SUMIFS('1 stopień 20_21'!$I$9:$I$773,'1 stopień 20_21'!$G$9:$G$773,D37,'1 stopień 20_21'!$K$9:$K$773,"CKZ Olkusz")</f>
        <v>0</v>
      </c>
      <c r="W37" s="104">
        <f>SUMIFS('1 stopień 20_21'!$I$9:$I$773,'1 stopień 20_21'!$G$9:$G$773,D37,'1 stopień 20_21'!$K$9:$K$773,"CKZ Wschowa")</f>
        <v>0</v>
      </c>
      <c r="X37" s="104">
        <f>SUMIFS('1 stopień 20_21'!$I$9:$I$773,'1 stopień 20_21'!$G$9:$G$773,D37,'1 stopień 20_21'!$K$9:$K$773,"CKZ Zielona Góra")</f>
        <v>0</v>
      </c>
      <c r="Y37" s="104">
        <f>SUMIFS('1 stopień 20_21'!$I$9:$I$773,'1 stopień 20_21'!$G$9:$G$773,D37,'1 stopień 20_21'!$K$9:$K$773,"Rzemieślnicza Wałbrzych")</f>
        <v>0</v>
      </c>
      <c r="Z37" s="104">
        <f>SUMIFS('1 stopień 20_21'!$I$9:$I$773,'1 stopień 20_21'!$G$9:$G$773,D37,'1 stopień 20_21'!$K$9:$K$773,"CKZ Mosina")</f>
        <v>0</v>
      </c>
      <c r="AA37" s="104">
        <f>SUMIFS('1 stopień 20_21'!$I$9:$I$773,'1 stopień 20_21'!$G$9:$G$773,D37,'1 stopień 20_21'!$K$9:$K$773,"CKZ Słupsk")</f>
        <v>0</v>
      </c>
      <c r="AB37" s="104">
        <f>SUMIFS('1 stopień 20_21'!$I$9:$I$773,'1 stopień 20_21'!$G$9:$G$773,D37,'1 stopień 20_21'!$K$9:$K$773,"Toyota")</f>
        <v>0</v>
      </c>
      <c r="AC37" s="104">
        <f>SUMIFS('1 stopień 20_21'!$I$9:$I$773,'1 stopień 20_21'!$G$9:$G$773,D37,'1 stopień 20_21'!$K$9:$K$773,"CKZ Wrocław")</f>
        <v>0</v>
      </c>
      <c r="AD37" s="104">
        <f>SUMIFS('1 stopień 20_21'!$I$9:$I$773,'1 stopień 20_21'!$G$9:$G$773,D37,'1 stopień 20_21'!$K$9:$K$773,"CKZ Opole")</f>
        <v>0</v>
      </c>
      <c r="AE37" s="104">
        <f>SUMIFS('1 stopień 20_21'!$I$9:$I$773,'1 stopień 20_21'!$G$9:$G$773,D37,'1 stopień 20_21'!$K$9:$K$773,"Chojnów")</f>
        <v>0</v>
      </c>
      <c r="AF37" s="104">
        <f>SUMIFS('1 stopień 20_21'!$I$9:$I$773,'1 stopień 20_21'!$G$9:$G$773,D37,'1 stopień 20_21'!$K$9:$K$773,"")</f>
        <v>0</v>
      </c>
      <c r="AG37" s="105">
        <f t="shared" si="0"/>
        <v>0</v>
      </c>
    </row>
    <row r="38" spans="2:33">
      <c r="B38" s="106" t="s">
        <v>613</v>
      </c>
      <c r="C38" s="107">
        <v>811301</v>
      </c>
      <c r="D38" s="107" t="s">
        <v>1377</v>
      </c>
      <c r="E38" s="106" t="s">
        <v>727</v>
      </c>
      <c r="F38" s="103">
        <f>SUMIF('1 stopień 20_21'!G$9:G$773,D38,'1 stopień 20_21'!I$9:I$773)</f>
        <v>0</v>
      </c>
      <c r="G38" s="104">
        <f>SUMIFS('1 stopień 20_21'!$I$9:$I$773,'1 stopień 20_21'!$G$9:$G$773,D38,'1 stopień 20_21'!$K$9:$K$773,"CKZ Bielawa")</f>
        <v>0</v>
      </c>
      <c r="H38" s="104">
        <f>SUMIFS('1 stopień 20_21'!$I$9:$I$773,'1 stopień 20_21'!$G$9:$G$773,D38,'1 stopień 20_21'!$K$9:$K$773,"GCKZ Głogów")</f>
        <v>0</v>
      </c>
      <c r="I38" s="104">
        <f>SUMIFS('1 stopień 20_21'!$I$9:$I$773,'1 stopień 20_21'!$G$9:$G$773,D38,'1 stopień 20_21'!$K$9:$K$773,"CKZ Jawor")</f>
        <v>0</v>
      </c>
      <c r="J38" s="104">
        <f>SUMIFS('1 stopień 20_21'!$I$9:$I$773,'1 stopień 20_21'!$G$9:$G$773,D38,'1 stopień 20_21'!$K$9:$K$773,"JCKZ Jelenia Góra")</f>
        <v>0</v>
      </c>
      <c r="K38" s="104">
        <f>SUMIFS('1 stopień 20_21'!$I$9:$I$773,'1 stopień 20_21'!$G$9:$G$773,D38,'1 stopień 20_21'!$K$9:$K$773,"CKZ Kłodzko")</f>
        <v>0</v>
      </c>
      <c r="L38" s="104">
        <f>SUMIFS('1 stopień 20_21'!$I$9:$I$773,'1 stopień 20_21'!$G$9:$G$773,D38,'1 stopień 20_21'!$K$9:$K$773,"CKZ Legnica")</f>
        <v>0</v>
      </c>
      <c r="M38" s="104">
        <f>SUMIFS('1 stopień 20_21'!$I$9:$I$773,'1 stopień 20_21'!$G$9:$G$773,D38,'1 stopień 20_21'!$K$9:$K$773,"CKZ Oleśnica")</f>
        <v>0</v>
      </c>
      <c r="N38" s="104">
        <f>SUMIFS('1 stopień 20_21'!$I$9:$I$773,'1 stopień 20_21'!$G$9:$G$773,D38,'1 stopień 20_21'!$K$9:$K$773,"CKZ Świdnica")</f>
        <v>0</v>
      </c>
      <c r="O38" s="104">
        <f>SUMIFS('1 stopień 20_21'!$I$9:$I$773,'1 stopień 20_21'!$G$9:$G$773,D38,'1 stopień 20_21'!$K$9:$K$773,"CKZ Wołów")</f>
        <v>0</v>
      </c>
      <c r="P38" s="104">
        <f>SUMIFS('1 stopień 20_21'!$I$9:$I$773,'1 stopień 20_21'!$G$9:$G$773,D38,'1 stopień 20_21'!$K$9:$K$773,"CKZ Ziębice")</f>
        <v>0</v>
      </c>
      <c r="Q38" s="104">
        <f>SUMIFS('1 stopień 20_21'!$I$9:$I$773,'1 stopień 20_21'!$G$9:$G$773,D38,'1 stopień 20_21'!$K$9:$K$773,"CKZ Dobrodzień")</f>
        <v>0</v>
      </c>
      <c r="R38" s="104">
        <f>SUMIFS('1 stopień 20_21'!$I$9:$I$773,'1 stopień 20_21'!$G$9:$G$773,D38,'1 stopień 20_21'!$K$9:$K$773,"CKZ Głubczyce")</f>
        <v>0</v>
      </c>
      <c r="S38" s="104">
        <f>SUMIFS('1 stopień 20_21'!$I$9:$I$773,'1 stopień 20_21'!$G$9:$G$773,D38,'1 stopień 20_21'!$K$9:$K$773,"CKZ Kędzierzyn Kożle")</f>
        <v>0</v>
      </c>
      <c r="T38" s="104">
        <f>SUMIFS('1 stopień 20_21'!$I$9:$I$773,'1 stopień 20_21'!$G$9:$G$773,D38,'1 stopień 20_21'!$K$9:$K$773,"CKZ Kluczbork")</f>
        <v>0</v>
      </c>
      <c r="U38" s="104">
        <f>SUMIFS('1 stopień 20_21'!$I$9:$I$773,'1 stopień 20_21'!$G$9:$G$773,D38,'1 stopień 20_21'!$K$9:$K$773,"CKZ Krotoszyn")</f>
        <v>0</v>
      </c>
      <c r="V38" s="104">
        <f>SUMIFS('1 stopień 20_21'!$I$9:$I$773,'1 stopień 20_21'!$G$9:$G$773,D38,'1 stopień 20_21'!$K$9:$K$773,"CKZ Olkusz")</f>
        <v>0</v>
      </c>
      <c r="W38" s="104">
        <f>SUMIFS('1 stopień 20_21'!$I$9:$I$773,'1 stopień 20_21'!$G$9:$G$773,D38,'1 stopień 20_21'!$K$9:$K$773,"CKZ Wschowa")</f>
        <v>0</v>
      </c>
      <c r="X38" s="104">
        <f>SUMIFS('1 stopień 20_21'!$I$9:$I$773,'1 stopień 20_21'!$G$9:$G$773,D38,'1 stopień 20_21'!$K$9:$K$773,"CKZ Zielona Góra")</f>
        <v>0</v>
      </c>
      <c r="Y38" s="104">
        <f>SUMIFS('1 stopień 20_21'!$I$9:$I$773,'1 stopień 20_21'!$G$9:$G$773,D38,'1 stopień 20_21'!$K$9:$K$773,"Rzemieślnicza Wałbrzych")</f>
        <v>0</v>
      </c>
      <c r="Z38" s="104">
        <f>SUMIFS('1 stopień 20_21'!$I$9:$I$773,'1 stopień 20_21'!$G$9:$G$773,D38,'1 stopień 20_21'!$K$9:$K$773,"CKZ Mosina")</f>
        <v>0</v>
      </c>
      <c r="AA38" s="104">
        <f>SUMIFS('1 stopień 20_21'!$I$9:$I$773,'1 stopień 20_21'!$G$9:$G$773,D38,'1 stopień 20_21'!$K$9:$K$773,"CKZ Słupsk")</f>
        <v>0</v>
      </c>
      <c r="AB38" s="104">
        <f>SUMIFS('1 stopień 20_21'!$I$9:$I$773,'1 stopień 20_21'!$G$9:$G$773,D38,'1 stopień 20_21'!$K$9:$K$773,"Toyota")</f>
        <v>0</v>
      </c>
      <c r="AC38" s="104">
        <f>SUMIFS('1 stopień 20_21'!$I$9:$I$773,'1 stopień 20_21'!$G$9:$G$773,D38,'1 stopień 20_21'!$K$9:$K$773,"CKZ Wrocław")</f>
        <v>0</v>
      </c>
      <c r="AD38" s="104">
        <f>SUMIFS('1 stopień 20_21'!$I$9:$I$773,'1 stopień 20_21'!$G$9:$G$773,D38,'1 stopień 20_21'!$K$9:$K$773,"CKZ Opole")</f>
        <v>0</v>
      </c>
      <c r="AE38" s="104">
        <f>SUMIFS('1 stopień 20_21'!$I$9:$I$773,'1 stopień 20_21'!$G$9:$G$773,D38,'1 stopień 20_21'!$K$9:$K$773,"Chojnów")</f>
        <v>0</v>
      </c>
      <c r="AF38" s="104">
        <f>SUMIFS('1 stopień 20_21'!$I$9:$I$773,'1 stopień 20_21'!$G$9:$G$773,D38,'1 stopień 20_21'!$K$9:$K$773,"")</f>
        <v>0</v>
      </c>
      <c r="AG38" s="105">
        <f t="shared" ref="AG38:AG69" si="1">SUM(G38:AF38)</f>
        <v>0</v>
      </c>
    </row>
    <row r="39" spans="2:33">
      <c r="B39" s="106" t="s">
        <v>614</v>
      </c>
      <c r="C39" s="107">
        <v>811101</v>
      </c>
      <c r="D39" s="107" t="s">
        <v>730</v>
      </c>
      <c r="E39" s="106" t="s">
        <v>729</v>
      </c>
      <c r="F39" s="103">
        <f>SUMIF('1 stopień 20_21'!G$9:G$773,D39,'1 stopień 20_21'!I$9:I$773)</f>
        <v>0</v>
      </c>
      <c r="G39" s="104">
        <f>SUMIFS('1 stopień 20_21'!$I$9:$I$773,'1 stopień 20_21'!$G$9:$G$773,D39,'1 stopień 20_21'!$K$9:$K$773,"CKZ Bielawa")</f>
        <v>0</v>
      </c>
      <c r="H39" s="104">
        <f>SUMIFS('1 stopień 20_21'!$I$9:$I$773,'1 stopień 20_21'!$G$9:$G$773,D39,'1 stopień 20_21'!$K$9:$K$773,"GCKZ Głogów")</f>
        <v>0</v>
      </c>
      <c r="I39" s="104">
        <f>SUMIFS('1 stopień 20_21'!$I$9:$I$773,'1 stopień 20_21'!$G$9:$G$773,D39,'1 stopień 20_21'!$K$9:$K$773,"CKZ Jawor")</f>
        <v>0</v>
      </c>
      <c r="J39" s="104">
        <f>SUMIFS('1 stopień 20_21'!$I$9:$I$773,'1 stopień 20_21'!$G$9:$G$773,D39,'1 stopień 20_21'!$K$9:$K$773,"JCKZ Jelenia Góra")</f>
        <v>0</v>
      </c>
      <c r="K39" s="104">
        <f>SUMIFS('1 stopień 20_21'!$I$9:$I$773,'1 stopień 20_21'!$G$9:$G$773,D39,'1 stopień 20_21'!$K$9:$K$773,"CKZ Kłodzko")</f>
        <v>0</v>
      </c>
      <c r="L39" s="104">
        <f>SUMIFS('1 stopień 20_21'!$I$9:$I$773,'1 stopień 20_21'!$G$9:$G$773,D39,'1 stopień 20_21'!$K$9:$K$773,"CKZ Legnica")</f>
        <v>0</v>
      </c>
      <c r="M39" s="104">
        <f>SUMIFS('1 stopień 20_21'!$I$9:$I$773,'1 stopień 20_21'!$G$9:$G$773,D39,'1 stopień 20_21'!$K$9:$K$773,"CKZ Oleśnica")</f>
        <v>0</v>
      </c>
      <c r="N39" s="104">
        <f>SUMIFS('1 stopień 20_21'!$I$9:$I$773,'1 stopień 20_21'!$G$9:$G$773,D39,'1 stopień 20_21'!$K$9:$K$773,"CKZ Świdnica")</f>
        <v>0</v>
      </c>
      <c r="O39" s="104">
        <f>SUMIFS('1 stopień 20_21'!$I$9:$I$773,'1 stopień 20_21'!$G$9:$G$773,D39,'1 stopień 20_21'!$K$9:$K$773,"CKZ Wołów")</f>
        <v>0</v>
      </c>
      <c r="P39" s="104">
        <f>SUMIFS('1 stopień 20_21'!$I$9:$I$773,'1 stopień 20_21'!$G$9:$G$773,D39,'1 stopień 20_21'!$K$9:$K$773,"CKZ Ziębice")</f>
        <v>0</v>
      </c>
      <c r="Q39" s="104">
        <f>SUMIFS('1 stopień 20_21'!$I$9:$I$773,'1 stopień 20_21'!$G$9:$G$773,D39,'1 stopień 20_21'!$K$9:$K$773,"CKZ Dobrodzień")</f>
        <v>0</v>
      </c>
      <c r="R39" s="104">
        <f>SUMIFS('1 stopień 20_21'!$I$9:$I$773,'1 stopień 20_21'!$G$9:$G$773,D39,'1 stopień 20_21'!$K$9:$K$773,"CKZ Głubczyce")</f>
        <v>0</v>
      </c>
      <c r="S39" s="104">
        <f>SUMIFS('1 stopień 20_21'!$I$9:$I$773,'1 stopień 20_21'!$G$9:$G$773,D39,'1 stopień 20_21'!$K$9:$K$773,"CKZ Kędzierzyn Kożle")</f>
        <v>0</v>
      </c>
      <c r="T39" s="104">
        <f>SUMIFS('1 stopień 20_21'!$I$9:$I$773,'1 stopień 20_21'!$G$9:$G$773,D39,'1 stopień 20_21'!$K$9:$K$773,"CKZ Kluczbork")</f>
        <v>0</v>
      </c>
      <c r="U39" s="104">
        <f>SUMIFS('1 stopień 20_21'!$I$9:$I$773,'1 stopień 20_21'!$G$9:$G$773,D39,'1 stopień 20_21'!$K$9:$K$773,"CKZ Krotoszyn")</f>
        <v>0</v>
      </c>
      <c r="V39" s="104">
        <f>SUMIFS('1 stopień 20_21'!$I$9:$I$773,'1 stopień 20_21'!$G$9:$G$773,D39,'1 stopień 20_21'!$K$9:$K$773,"CKZ Olkusz")</f>
        <v>0</v>
      </c>
      <c r="W39" s="104">
        <f>SUMIFS('1 stopień 20_21'!$I$9:$I$773,'1 stopień 20_21'!$G$9:$G$773,D39,'1 stopień 20_21'!$K$9:$K$773,"CKZ Wschowa")</f>
        <v>0</v>
      </c>
      <c r="X39" s="104">
        <f>SUMIFS('1 stopień 20_21'!$I$9:$I$773,'1 stopień 20_21'!$G$9:$G$773,D39,'1 stopień 20_21'!$K$9:$K$773,"CKZ Zielona Góra")</f>
        <v>0</v>
      </c>
      <c r="Y39" s="104">
        <f>SUMIFS('1 stopień 20_21'!$I$9:$I$773,'1 stopień 20_21'!$G$9:$G$773,D39,'1 stopień 20_21'!$K$9:$K$773,"Rzemieślnicza Wałbrzych")</f>
        <v>0</v>
      </c>
      <c r="Z39" s="104">
        <f>SUMIFS('1 stopień 20_21'!$I$9:$I$773,'1 stopień 20_21'!$G$9:$G$773,D39,'1 stopień 20_21'!$K$9:$K$773,"CKZ Mosina")</f>
        <v>0</v>
      </c>
      <c r="AA39" s="104">
        <f>SUMIFS('1 stopień 20_21'!$I$9:$I$773,'1 stopień 20_21'!$G$9:$G$773,D39,'1 stopień 20_21'!$K$9:$K$773,"CKZ Słupsk")</f>
        <v>0</v>
      </c>
      <c r="AB39" s="104">
        <f>SUMIFS('1 stopień 20_21'!$I$9:$I$773,'1 stopień 20_21'!$G$9:$G$773,D39,'1 stopień 20_21'!$K$9:$K$773,"Toyota")</f>
        <v>0</v>
      </c>
      <c r="AC39" s="104">
        <f>SUMIFS('1 stopień 20_21'!$I$9:$I$773,'1 stopień 20_21'!$G$9:$G$773,D39,'1 stopień 20_21'!$K$9:$K$773,"CKZ Wrocław")</f>
        <v>0</v>
      </c>
      <c r="AD39" s="104">
        <f>SUMIFS('1 stopień 20_21'!$I$9:$I$773,'1 stopień 20_21'!$G$9:$G$773,D39,'1 stopień 20_21'!$K$9:$K$773,"CKZ Opole")</f>
        <v>0</v>
      </c>
      <c r="AE39" s="104">
        <f>SUMIFS('1 stopień 20_21'!$I$9:$I$773,'1 stopień 20_21'!$G$9:$G$773,D39,'1 stopień 20_21'!$K$9:$K$773,"Chojnów")</f>
        <v>0</v>
      </c>
      <c r="AF39" s="104">
        <f>SUMIFS('1 stopień 20_21'!$I$9:$I$773,'1 stopień 20_21'!$G$9:$G$773,D39,'1 stopień 20_21'!$K$9:$K$773,"")</f>
        <v>0</v>
      </c>
      <c r="AG39" s="105">
        <f t="shared" si="1"/>
        <v>0</v>
      </c>
    </row>
    <row r="40" spans="2:33">
      <c r="B40" s="106" t="s">
        <v>615</v>
      </c>
      <c r="C40" s="107">
        <v>811102</v>
      </c>
      <c r="D40" s="107" t="s">
        <v>732</v>
      </c>
      <c r="E40" s="106" t="s">
        <v>731</v>
      </c>
      <c r="F40" s="103">
        <f>SUMIF('1 stopień 20_21'!G$9:G$773,D40,'1 stopień 20_21'!I$9:I$773)</f>
        <v>0</v>
      </c>
      <c r="G40" s="104">
        <f>SUMIFS('1 stopień 20_21'!$I$9:$I$773,'1 stopień 20_21'!$G$9:$G$773,D40,'1 stopień 20_21'!$K$9:$K$773,"CKZ Bielawa")</f>
        <v>0</v>
      </c>
      <c r="H40" s="104">
        <f>SUMIFS('1 stopień 20_21'!$I$9:$I$773,'1 stopień 20_21'!$G$9:$G$773,D40,'1 stopień 20_21'!$K$9:$K$773,"GCKZ Głogów")</f>
        <v>0</v>
      </c>
      <c r="I40" s="104">
        <f>SUMIFS('1 stopień 20_21'!$I$9:$I$773,'1 stopień 20_21'!$G$9:$G$773,D40,'1 stopień 20_21'!$K$9:$K$773,"CKZ Jawor")</f>
        <v>0</v>
      </c>
      <c r="J40" s="104">
        <f>SUMIFS('1 stopień 20_21'!$I$9:$I$773,'1 stopień 20_21'!$G$9:$G$773,D40,'1 stopień 20_21'!$K$9:$K$773,"JCKZ Jelenia Góra")</f>
        <v>0</v>
      </c>
      <c r="K40" s="104">
        <f>SUMIFS('1 stopień 20_21'!$I$9:$I$773,'1 stopień 20_21'!$G$9:$G$773,D40,'1 stopień 20_21'!$K$9:$K$773,"CKZ Kłodzko")</f>
        <v>0</v>
      </c>
      <c r="L40" s="104">
        <f>SUMIFS('1 stopień 20_21'!$I$9:$I$773,'1 stopień 20_21'!$G$9:$G$773,D40,'1 stopień 20_21'!$K$9:$K$773,"CKZ Legnica")</f>
        <v>0</v>
      </c>
      <c r="M40" s="104">
        <f>SUMIFS('1 stopień 20_21'!$I$9:$I$773,'1 stopień 20_21'!$G$9:$G$773,D40,'1 stopień 20_21'!$K$9:$K$773,"CKZ Oleśnica")</f>
        <v>0</v>
      </c>
      <c r="N40" s="104">
        <f>SUMIFS('1 stopień 20_21'!$I$9:$I$773,'1 stopień 20_21'!$G$9:$G$773,D40,'1 stopień 20_21'!$K$9:$K$773,"CKZ Świdnica")</f>
        <v>0</v>
      </c>
      <c r="O40" s="104">
        <f>SUMIFS('1 stopień 20_21'!$I$9:$I$773,'1 stopień 20_21'!$G$9:$G$773,D40,'1 stopień 20_21'!$K$9:$K$773,"CKZ Wołów")</f>
        <v>0</v>
      </c>
      <c r="P40" s="104">
        <f>SUMIFS('1 stopień 20_21'!$I$9:$I$773,'1 stopień 20_21'!$G$9:$G$773,D40,'1 stopień 20_21'!$K$9:$K$773,"CKZ Ziębice")</f>
        <v>0</v>
      </c>
      <c r="Q40" s="104">
        <f>SUMIFS('1 stopień 20_21'!$I$9:$I$773,'1 stopień 20_21'!$G$9:$G$773,D40,'1 stopień 20_21'!$K$9:$K$773,"CKZ Dobrodzień")</f>
        <v>0</v>
      </c>
      <c r="R40" s="104">
        <f>SUMIFS('1 stopień 20_21'!$I$9:$I$773,'1 stopień 20_21'!$G$9:$G$773,D40,'1 stopień 20_21'!$K$9:$K$773,"CKZ Głubczyce")</f>
        <v>0</v>
      </c>
      <c r="S40" s="104">
        <f>SUMIFS('1 stopień 20_21'!$I$9:$I$773,'1 stopień 20_21'!$G$9:$G$773,D40,'1 stopień 20_21'!$K$9:$K$773,"CKZ Kędzierzyn Kożle")</f>
        <v>0</v>
      </c>
      <c r="T40" s="104">
        <f>SUMIFS('1 stopień 20_21'!$I$9:$I$773,'1 stopień 20_21'!$G$9:$G$773,D40,'1 stopień 20_21'!$K$9:$K$773,"CKZ Kluczbork")</f>
        <v>0</v>
      </c>
      <c r="U40" s="104">
        <f>SUMIFS('1 stopień 20_21'!$I$9:$I$773,'1 stopień 20_21'!$G$9:$G$773,D40,'1 stopień 20_21'!$K$9:$K$773,"CKZ Krotoszyn")</f>
        <v>0</v>
      </c>
      <c r="V40" s="104">
        <f>SUMIFS('1 stopień 20_21'!$I$9:$I$773,'1 stopień 20_21'!$G$9:$G$773,D40,'1 stopień 20_21'!$K$9:$K$773,"CKZ Olkusz")</f>
        <v>0</v>
      </c>
      <c r="W40" s="104">
        <f>SUMIFS('1 stopień 20_21'!$I$9:$I$773,'1 stopień 20_21'!$G$9:$G$773,D40,'1 stopień 20_21'!$K$9:$K$773,"CKZ Wschowa")</f>
        <v>0</v>
      </c>
      <c r="X40" s="104">
        <f>SUMIFS('1 stopień 20_21'!$I$9:$I$773,'1 stopień 20_21'!$G$9:$G$773,D40,'1 stopień 20_21'!$K$9:$K$773,"CKZ Zielona Góra")</f>
        <v>0</v>
      </c>
      <c r="Y40" s="104">
        <f>SUMIFS('1 stopień 20_21'!$I$9:$I$773,'1 stopień 20_21'!$G$9:$G$773,D40,'1 stopień 20_21'!$K$9:$K$773,"Rzemieślnicza Wałbrzych")</f>
        <v>0</v>
      </c>
      <c r="Z40" s="104">
        <f>SUMIFS('1 stopień 20_21'!$I$9:$I$773,'1 stopień 20_21'!$G$9:$G$773,D40,'1 stopień 20_21'!$K$9:$K$773,"CKZ Mosina")</f>
        <v>0</v>
      </c>
      <c r="AA40" s="104">
        <f>SUMIFS('1 stopień 20_21'!$I$9:$I$773,'1 stopień 20_21'!$G$9:$G$773,D40,'1 stopień 20_21'!$K$9:$K$773,"CKZ Słupsk")</f>
        <v>0</v>
      </c>
      <c r="AB40" s="104">
        <f>SUMIFS('1 stopień 20_21'!$I$9:$I$773,'1 stopień 20_21'!$G$9:$G$773,D40,'1 stopień 20_21'!$K$9:$K$773,"Toyota")</f>
        <v>0</v>
      </c>
      <c r="AC40" s="104">
        <f>SUMIFS('1 stopień 20_21'!$I$9:$I$773,'1 stopień 20_21'!$G$9:$G$773,D40,'1 stopień 20_21'!$K$9:$K$773,"CKZ Wrocław")</f>
        <v>0</v>
      </c>
      <c r="AD40" s="104">
        <f>SUMIFS('1 stopień 20_21'!$I$9:$I$773,'1 stopień 20_21'!$G$9:$G$773,D40,'1 stopień 20_21'!$K$9:$K$773,"CKZ Opole")</f>
        <v>0</v>
      </c>
      <c r="AE40" s="104">
        <f>SUMIFS('1 stopień 20_21'!$I$9:$I$773,'1 stopień 20_21'!$G$9:$G$773,D40,'1 stopień 20_21'!$K$9:$K$773,"Chojnów")</f>
        <v>0</v>
      </c>
      <c r="AF40" s="104">
        <f>SUMIFS('1 stopień 20_21'!$I$9:$I$773,'1 stopień 20_21'!$G$9:$G$773,D40,'1 stopień 20_21'!$K$9:$K$773,"")</f>
        <v>0</v>
      </c>
      <c r="AG40" s="105">
        <f t="shared" si="1"/>
        <v>0</v>
      </c>
    </row>
    <row r="41" spans="2:33" ht="22.5">
      <c r="B41" s="106" t="s">
        <v>616</v>
      </c>
      <c r="C41" s="107">
        <v>811112</v>
      </c>
      <c r="D41" s="107" t="s">
        <v>1378</v>
      </c>
      <c r="E41" s="106" t="s">
        <v>733</v>
      </c>
      <c r="F41" s="103">
        <f>SUMIF('1 stopień 20_21'!G$9:G$773,D41,'1 stopień 20_21'!I$9:I$773)</f>
        <v>0</v>
      </c>
      <c r="G41" s="104">
        <f>SUMIFS('1 stopień 20_21'!$I$9:$I$773,'1 stopień 20_21'!$G$9:$G$773,D41,'1 stopień 20_21'!$K$9:$K$773,"CKZ Bielawa")</f>
        <v>0</v>
      </c>
      <c r="H41" s="104">
        <f>SUMIFS('1 stopień 20_21'!$I$9:$I$773,'1 stopień 20_21'!$G$9:$G$773,D41,'1 stopień 20_21'!$K$9:$K$773,"GCKZ Głogów")</f>
        <v>0</v>
      </c>
      <c r="I41" s="104">
        <f>SUMIFS('1 stopień 20_21'!$I$9:$I$773,'1 stopień 20_21'!$G$9:$G$773,D41,'1 stopień 20_21'!$K$9:$K$773,"CKZ Jawor")</f>
        <v>0</v>
      </c>
      <c r="J41" s="104">
        <f>SUMIFS('1 stopień 20_21'!$I$9:$I$773,'1 stopień 20_21'!$G$9:$G$773,D41,'1 stopień 20_21'!$K$9:$K$773,"JCKZ Jelenia Góra")</f>
        <v>0</v>
      </c>
      <c r="K41" s="104">
        <f>SUMIFS('1 stopień 20_21'!$I$9:$I$773,'1 stopień 20_21'!$G$9:$G$773,D41,'1 stopień 20_21'!$K$9:$K$773,"CKZ Kłodzko")</f>
        <v>0</v>
      </c>
      <c r="L41" s="104">
        <f>SUMIFS('1 stopień 20_21'!$I$9:$I$773,'1 stopień 20_21'!$G$9:$G$773,D41,'1 stopień 20_21'!$K$9:$K$773,"CKZ Legnica")</f>
        <v>0</v>
      </c>
      <c r="M41" s="104">
        <f>SUMIFS('1 stopień 20_21'!$I$9:$I$773,'1 stopień 20_21'!$G$9:$G$773,D41,'1 stopień 20_21'!$K$9:$K$773,"CKZ Oleśnica")</f>
        <v>0</v>
      </c>
      <c r="N41" s="104">
        <f>SUMIFS('1 stopień 20_21'!$I$9:$I$773,'1 stopień 20_21'!$G$9:$G$773,D41,'1 stopień 20_21'!$K$9:$K$773,"CKZ Świdnica")</f>
        <v>0</v>
      </c>
      <c r="O41" s="104">
        <f>SUMIFS('1 stopień 20_21'!$I$9:$I$773,'1 stopień 20_21'!$G$9:$G$773,D41,'1 stopień 20_21'!$K$9:$K$773,"CKZ Wołów")</f>
        <v>0</v>
      </c>
      <c r="P41" s="104">
        <f>SUMIFS('1 stopień 20_21'!$I$9:$I$773,'1 stopień 20_21'!$G$9:$G$773,D41,'1 stopień 20_21'!$K$9:$K$773,"CKZ Ziębice")</f>
        <v>0</v>
      </c>
      <c r="Q41" s="104">
        <f>SUMIFS('1 stopień 20_21'!$I$9:$I$773,'1 stopień 20_21'!$G$9:$G$773,D41,'1 stopień 20_21'!$K$9:$K$773,"CKZ Dobrodzień")</f>
        <v>0</v>
      </c>
      <c r="R41" s="104">
        <f>SUMIFS('1 stopień 20_21'!$I$9:$I$773,'1 stopień 20_21'!$G$9:$G$773,D41,'1 stopień 20_21'!$K$9:$K$773,"CKZ Głubczyce")</f>
        <v>0</v>
      </c>
      <c r="S41" s="104">
        <f>SUMIFS('1 stopień 20_21'!$I$9:$I$773,'1 stopień 20_21'!$G$9:$G$773,D41,'1 stopień 20_21'!$K$9:$K$773,"CKZ Kędzierzyn Kożle")</f>
        <v>0</v>
      </c>
      <c r="T41" s="104">
        <f>SUMIFS('1 stopień 20_21'!$I$9:$I$773,'1 stopień 20_21'!$G$9:$G$773,D41,'1 stopień 20_21'!$K$9:$K$773,"CKZ Kluczbork")</f>
        <v>0</v>
      </c>
      <c r="U41" s="104">
        <f>SUMIFS('1 stopień 20_21'!$I$9:$I$773,'1 stopień 20_21'!$G$9:$G$773,D41,'1 stopień 20_21'!$K$9:$K$773,"CKZ Krotoszyn")</f>
        <v>0</v>
      </c>
      <c r="V41" s="104">
        <f>SUMIFS('1 stopień 20_21'!$I$9:$I$773,'1 stopień 20_21'!$G$9:$G$773,D41,'1 stopień 20_21'!$K$9:$K$773,"CKZ Olkusz")</f>
        <v>0</v>
      </c>
      <c r="W41" s="104">
        <f>SUMIFS('1 stopień 20_21'!$I$9:$I$773,'1 stopień 20_21'!$G$9:$G$773,D41,'1 stopień 20_21'!$K$9:$K$773,"CKZ Wschowa")</f>
        <v>0</v>
      </c>
      <c r="X41" s="104">
        <f>SUMIFS('1 stopień 20_21'!$I$9:$I$773,'1 stopień 20_21'!$G$9:$G$773,D41,'1 stopień 20_21'!$K$9:$K$773,"CKZ Zielona Góra")</f>
        <v>0</v>
      </c>
      <c r="Y41" s="104">
        <f>SUMIFS('1 stopień 20_21'!$I$9:$I$773,'1 stopień 20_21'!$G$9:$G$773,D41,'1 stopień 20_21'!$K$9:$K$773,"Rzemieślnicza Wałbrzych")</f>
        <v>0</v>
      </c>
      <c r="Z41" s="104">
        <f>SUMIFS('1 stopień 20_21'!$I$9:$I$773,'1 stopień 20_21'!$G$9:$G$773,D41,'1 stopień 20_21'!$K$9:$K$773,"CKZ Mosina")</f>
        <v>0</v>
      </c>
      <c r="AA41" s="104">
        <f>SUMIFS('1 stopień 20_21'!$I$9:$I$773,'1 stopień 20_21'!$G$9:$G$773,D41,'1 stopień 20_21'!$K$9:$K$773,"CKZ Słupsk")</f>
        <v>0</v>
      </c>
      <c r="AB41" s="104">
        <f>SUMIFS('1 stopień 20_21'!$I$9:$I$773,'1 stopień 20_21'!$G$9:$G$773,D41,'1 stopień 20_21'!$K$9:$K$773,"Toyota")</f>
        <v>0</v>
      </c>
      <c r="AC41" s="104">
        <f>SUMIFS('1 stopień 20_21'!$I$9:$I$773,'1 stopień 20_21'!$G$9:$G$773,D41,'1 stopień 20_21'!$K$9:$K$773,"CKZ Wrocław")</f>
        <v>0</v>
      </c>
      <c r="AD41" s="104">
        <f>SUMIFS('1 stopień 20_21'!$I$9:$I$773,'1 stopień 20_21'!$G$9:$G$773,D41,'1 stopień 20_21'!$K$9:$K$773,"CKZ Opole")</f>
        <v>0</v>
      </c>
      <c r="AE41" s="104">
        <f>SUMIFS('1 stopień 20_21'!$I$9:$I$773,'1 stopień 20_21'!$G$9:$G$773,D41,'1 stopień 20_21'!$K$9:$K$773,"Chojnów")</f>
        <v>0</v>
      </c>
      <c r="AF41" s="104">
        <f>SUMIFS('1 stopień 20_21'!$I$9:$I$773,'1 stopień 20_21'!$G$9:$G$773,D41,'1 stopień 20_21'!$K$9:$K$773,"")</f>
        <v>0</v>
      </c>
      <c r="AG41" s="105">
        <f t="shared" si="1"/>
        <v>0</v>
      </c>
    </row>
    <row r="42" spans="2:33">
      <c r="B42" s="106" t="s">
        <v>617</v>
      </c>
      <c r="C42" s="107">
        <v>811205</v>
      </c>
      <c r="D42" s="107" t="s">
        <v>1379</v>
      </c>
      <c r="E42" s="106" t="s">
        <v>735</v>
      </c>
      <c r="F42" s="103">
        <f>SUMIF('1 stopień 20_21'!G$9:G$773,D42,'1 stopień 20_21'!I$9:I$773)</f>
        <v>0</v>
      </c>
      <c r="G42" s="104">
        <f>SUMIFS('1 stopień 20_21'!$I$9:$I$773,'1 stopień 20_21'!$G$9:$G$773,D42,'1 stopień 20_21'!$K$9:$K$773,"CKZ Bielawa")</f>
        <v>0</v>
      </c>
      <c r="H42" s="104">
        <f>SUMIFS('1 stopień 20_21'!$I$9:$I$773,'1 stopień 20_21'!$G$9:$G$773,D42,'1 stopień 20_21'!$K$9:$K$773,"GCKZ Głogów")</f>
        <v>0</v>
      </c>
      <c r="I42" s="104">
        <f>SUMIFS('1 stopień 20_21'!$I$9:$I$773,'1 stopień 20_21'!$G$9:$G$773,D42,'1 stopień 20_21'!$K$9:$K$773,"CKZ Jawor")</f>
        <v>0</v>
      </c>
      <c r="J42" s="104">
        <f>SUMIFS('1 stopień 20_21'!$I$9:$I$773,'1 stopień 20_21'!$G$9:$G$773,D42,'1 stopień 20_21'!$K$9:$K$773,"JCKZ Jelenia Góra")</f>
        <v>0</v>
      </c>
      <c r="K42" s="104">
        <f>SUMIFS('1 stopień 20_21'!$I$9:$I$773,'1 stopień 20_21'!$G$9:$G$773,D42,'1 stopień 20_21'!$K$9:$K$773,"CKZ Kłodzko")</f>
        <v>0</v>
      </c>
      <c r="L42" s="104">
        <f>SUMIFS('1 stopień 20_21'!$I$9:$I$773,'1 stopień 20_21'!$G$9:$G$773,D42,'1 stopień 20_21'!$K$9:$K$773,"CKZ Legnica")</f>
        <v>0</v>
      </c>
      <c r="M42" s="104">
        <f>SUMIFS('1 stopień 20_21'!$I$9:$I$773,'1 stopień 20_21'!$G$9:$G$773,D42,'1 stopień 20_21'!$K$9:$K$773,"CKZ Oleśnica")</f>
        <v>0</v>
      </c>
      <c r="N42" s="104">
        <f>SUMIFS('1 stopień 20_21'!$I$9:$I$773,'1 stopień 20_21'!$G$9:$G$773,D42,'1 stopień 20_21'!$K$9:$K$773,"CKZ Świdnica")</f>
        <v>0</v>
      </c>
      <c r="O42" s="104">
        <f>SUMIFS('1 stopień 20_21'!$I$9:$I$773,'1 stopień 20_21'!$G$9:$G$773,D42,'1 stopień 20_21'!$K$9:$K$773,"CKZ Wołów")</f>
        <v>0</v>
      </c>
      <c r="P42" s="104">
        <f>SUMIFS('1 stopień 20_21'!$I$9:$I$773,'1 stopień 20_21'!$G$9:$G$773,D42,'1 stopień 20_21'!$K$9:$K$773,"CKZ Ziębice")</f>
        <v>0</v>
      </c>
      <c r="Q42" s="104">
        <f>SUMIFS('1 stopień 20_21'!$I$9:$I$773,'1 stopień 20_21'!$G$9:$G$773,D42,'1 stopień 20_21'!$K$9:$K$773,"CKZ Dobrodzień")</f>
        <v>0</v>
      </c>
      <c r="R42" s="104">
        <f>SUMIFS('1 stopień 20_21'!$I$9:$I$773,'1 stopień 20_21'!$G$9:$G$773,D42,'1 stopień 20_21'!$K$9:$K$773,"CKZ Głubczyce")</f>
        <v>0</v>
      </c>
      <c r="S42" s="104">
        <f>SUMIFS('1 stopień 20_21'!$I$9:$I$773,'1 stopień 20_21'!$G$9:$G$773,D42,'1 stopień 20_21'!$K$9:$K$773,"CKZ Kędzierzyn Kożle")</f>
        <v>0</v>
      </c>
      <c r="T42" s="104">
        <f>SUMIFS('1 stopień 20_21'!$I$9:$I$773,'1 stopień 20_21'!$G$9:$G$773,D42,'1 stopień 20_21'!$K$9:$K$773,"CKZ Kluczbork")</f>
        <v>0</v>
      </c>
      <c r="U42" s="104">
        <f>SUMIFS('1 stopień 20_21'!$I$9:$I$773,'1 stopień 20_21'!$G$9:$G$773,D42,'1 stopień 20_21'!$K$9:$K$773,"CKZ Krotoszyn")</f>
        <v>0</v>
      </c>
      <c r="V42" s="104">
        <f>SUMIFS('1 stopień 20_21'!$I$9:$I$773,'1 stopień 20_21'!$G$9:$G$773,D42,'1 stopień 20_21'!$K$9:$K$773,"CKZ Olkusz")</f>
        <v>0</v>
      </c>
      <c r="W42" s="104">
        <f>SUMIFS('1 stopień 20_21'!$I$9:$I$773,'1 stopień 20_21'!$G$9:$G$773,D42,'1 stopień 20_21'!$K$9:$K$773,"CKZ Wschowa")</f>
        <v>0</v>
      </c>
      <c r="X42" s="104">
        <f>SUMIFS('1 stopień 20_21'!$I$9:$I$773,'1 stopień 20_21'!$G$9:$G$773,D42,'1 stopień 20_21'!$K$9:$K$773,"CKZ Zielona Góra")</f>
        <v>0</v>
      </c>
      <c r="Y42" s="104">
        <f>SUMIFS('1 stopień 20_21'!$I$9:$I$773,'1 stopień 20_21'!$G$9:$G$773,D42,'1 stopień 20_21'!$K$9:$K$773,"Rzemieślnicza Wałbrzych")</f>
        <v>0</v>
      </c>
      <c r="Z42" s="104">
        <f>SUMIFS('1 stopień 20_21'!$I$9:$I$773,'1 stopień 20_21'!$G$9:$G$773,D42,'1 stopień 20_21'!$K$9:$K$773,"CKZ Mosina")</f>
        <v>0</v>
      </c>
      <c r="AA42" s="104">
        <f>SUMIFS('1 stopień 20_21'!$I$9:$I$773,'1 stopień 20_21'!$G$9:$G$773,D42,'1 stopień 20_21'!$K$9:$K$773,"CKZ Słupsk")</f>
        <v>0</v>
      </c>
      <c r="AB42" s="104">
        <f>SUMIFS('1 stopień 20_21'!$I$9:$I$773,'1 stopień 20_21'!$G$9:$G$773,D42,'1 stopień 20_21'!$K$9:$K$773,"Toyota")</f>
        <v>0</v>
      </c>
      <c r="AC42" s="104">
        <f>SUMIFS('1 stopień 20_21'!$I$9:$I$773,'1 stopień 20_21'!$G$9:$G$773,D42,'1 stopień 20_21'!$K$9:$K$773,"CKZ Wrocław")</f>
        <v>0</v>
      </c>
      <c r="AD42" s="104">
        <f>SUMIFS('1 stopień 20_21'!$I$9:$I$773,'1 stopień 20_21'!$G$9:$G$773,D42,'1 stopień 20_21'!$K$9:$K$773,"CKZ Opole")</f>
        <v>0</v>
      </c>
      <c r="AE42" s="104">
        <f>SUMIFS('1 stopień 20_21'!$I$9:$I$773,'1 stopień 20_21'!$G$9:$G$773,D42,'1 stopień 20_21'!$K$9:$K$773,"Chojnów")</f>
        <v>0</v>
      </c>
      <c r="AF42" s="104">
        <f>SUMIFS('1 stopień 20_21'!$I$9:$I$773,'1 stopień 20_21'!$G$9:$G$773,D42,'1 stopień 20_21'!$K$9:$K$773,"")</f>
        <v>0</v>
      </c>
      <c r="AG42" s="105">
        <f t="shared" si="1"/>
        <v>0</v>
      </c>
    </row>
    <row r="43" spans="2:33">
      <c r="B43" s="106" t="s">
        <v>618</v>
      </c>
      <c r="C43" s="107">
        <v>811305</v>
      </c>
      <c r="D43" s="107" t="s">
        <v>738</v>
      </c>
      <c r="E43" s="106" t="s">
        <v>737</v>
      </c>
      <c r="F43" s="103">
        <f>SUMIF('1 stopień 20_21'!G$9:G$773,D43,'1 stopień 20_21'!I$9:I$773)</f>
        <v>0</v>
      </c>
      <c r="G43" s="104">
        <f>SUMIFS('1 stopień 20_21'!$I$9:$I$773,'1 stopień 20_21'!$G$9:$G$773,D43,'1 stopień 20_21'!$K$9:$K$773,"CKZ Bielawa")</f>
        <v>0</v>
      </c>
      <c r="H43" s="104">
        <f>SUMIFS('1 stopień 20_21'!$I$9:$I$773,'1 stopień 20_21'!$G$9:$G$773,D43,'1 stopień 20_21'!$K$9:$K$773,"GCKZ Głogów")</f>
        <v>0</v>
      </c>
      <c r="I43" s="104">
        <f>SUMIFS('1 stopień 20_21'!$I$9:$I$773,'1 stopień 20_21'!$G$9:$G$773,D43,'1 stopień 20_21'!$K$9:$K$773,"CKZ Jawor")</f>
        <v>0</v>
      </c>
      <c r="J43" s="104">
        <f>SUMIFS('1 stopień 20_21'!$I$9:$I$773,'1 stopień 20_21'!$G$9:$G$773,D43,'1 stopień 20_21'!$K$9:$K$773,"JCKZ Jelenia Góra")</f>
        <v>0</v>
      </c>
      <c r="K43" s="104">
        <f>SUMIFS('1 stopień 20_21'!$I$9:$I$773,'1 stopień 20_21'!$G$9:$G$773,D43,'1 stopień 20_21'!$K$9:$K$773,"CKZ Kłodzko")</f>
        <v>0</v>
      </c>
      <c r="L43" s="104">
        <f>SUMIFS('1 stopień 20_21'!$I$9:$I$773,'1 stopień 20_21'!$G$9:$G$773,D43,'1 stopień 20_21'!$K$9:$K$773,"CKZ Legnica")</f>
        <v>0</v>
      </c>
      <c r="M43" s="104">
        <f>SUMIFS('1 stopień 20_21'!$I$9:$I$773,'1 stopień 20_21'!$G$9:$G$773,D43,'1 stopień 20_21'!$K$9:$K$773,"CKZ Oleśnica")</f>
        <v>0</v>
      </c>
      <c r="N43" s="104">
        <f>SUMIFS('1 stopień 20_21'!$I$9:$I$773,'1 stopień 20_21'!$G$9:$G$773,D43,'1 stopień 20_21'!$K$9:$K$773,"CKZ Świdnica")</f>
        <v>0</v>
      </c>
      <c r="O43" s="104">
        <f>SUMIFS('1 stopień 20_21'!$I$9:$I$773,'1 stopień 20_21'!$G$9:$G$773,D43,'1 stopień 20_21'!$K$9:$K$773,"CKZ Wołów")</f>
        <v>0</v>
      </c>
      <c r="P43" s="104">
        <f>SUMIFS('1 stopień 20_21'!$I$9:$I$773,'1 stopień 20_21'!$G$9:$G$773,D43,'1 stopień 20_21'!$K$9:$K$773,"CKZ Ziębice")</f>
        <v>0</v>
      </c>
      <c r="Q43" s="104">
        <f>SUMIFS('1 stopień 20_21'!$I$9:$I$773,'1 stopień 20_21'!$G$9:$G$773,D43,'1 stopień 20_21'!$K$9:$K$773,"CKZ Dobrodzień")</f>
        <v>0</v>
      </c>
      <c r="R43" s="104">
        <f>SUMIFS('1 stopień 20_21'!$I$9:$I$773,'1 stopień 20_21'!$G$9:$G$773,D43,'1 stopień 20_21'!$K$9:$K$773,"CKZ Głubczyce")</f>
        <v>0</v>
      </c>
      <c r="S43" s="104">
        <f>SUMIFS('1 stopień 20_21'!$I$9:$I$773,'1 stopień 20_21'!$G$9:$G$773,D43,'1 stopień 20_21'!$K$9:$K$773,"CKZ Kędzierzyn Kożle")</f>
        <v>0</v>
      </c>
      <c r="T43" s="104">
        <f>SUMIFS('1 stopień 20_21'!$I$9:$I$773,'1 stopień 20_21'!$G$9:$G$773,D43,'1 stopień 20_21'!$K$9:$K$773,"CKZ Kluczbork")</f>
        <v>0</v>
      </c>
      <c r="U43" s="104">
        <f>SUMIFS('1 stopień 20_21'!$I$9:$I$773,'1 stopień 20_21'!$G$9:$G$773,D43,'1 stopień 20_21'!$K$9:$K$773,"CKZ Krotoszyn")</f>
        <v>0</v>
      </c>
      <c r="V43" s="104">
        <f>SUMIFS('1 stopień 20_21'!$I$9:$I$773,'1 stopień 20_21'!$G$9:$G$773,D43,'1 stopień 20_21'!$K$9:$K$773,"CKZ Olkusz")</f>
        <v>0</v>
      </c>
      <c r="W43" s="104">
        <f>SUMIFS('1 stopień 20_21'!$I$9:$I$773,'1 stopień 20_21'!$G$9:$G$773,D43,'1 stopień 20_21'!$K$9:$K$773,"CKZ Wschowa")</f>
        <v>0</v>
      </c>
      <c r="X43" s="104">
        <f>SUMIFS('1 stopień 20_21'!$I$9:$I$773,'1 stopień 20_21'!$G$9:$G$773,D43,'1 stopień 20_21'!$K$9:$K$773,"CKZ Zielona Góra")</f>
        <v>0</v>
      </c>
      <c r="Y43" s="104">
        <f>SUMIFS('1 stopień 20_21'!$I$9:$I$773,'1 stopień 20_21'!$G$9:$G$773,D43,'1 stopień 20_21'!$K$9:$K$773,"Rzemieślnicza Wałbrzych")</f>
        <v>0</v>
      </c>
      <c r="Z43" s="104">
        <f>SUMIFS('1 stopień 20_21'!$I$9:$I$773,'1 stopień 20_21'!$G$9:$G$773,D43,'1 stopień 20_21'!$K$9:$K$773,"CKZ Mosina")</f>
        <v>0</v>
      </c>
      <c r="AA43" s="104">
        <f>SUMIFS('1 stopień 20_21'!$I$9:$I$773,'1 stopień 20_21'!$G$9:$G$773,D43,'1 stopień 20_21'!$K$9:$K$773,"CKZ Słupsk")</f>
        <v>0</v>
      </c>
      <c r="AB43" s="104">
        <f>SUMIFS('1 stopień 20_21'!$I$9:$I$773,'1 stopień 20_21'!$G$9:$G$773,D43,'1 stopień 20_21'!$K$9:$K$773,"Toyota")</f>
        <v>0</v>
      </c>
      <c r="AC43" s="104">
        <f>SUMIFS('1 stopień 20_21'!$I$9:$I$773,'1 stopień 20_21'!$G$9:$G$773,D43,'1 stopień 20_21'!$K$9:$K$773,"CKZ Wrocław")</f>
        <v>0</v>
      </c>
      <c r="AD43" s="104">
        <f>SUMIFS('1 stopień 20_21'!$I$9:$I$773,'1 stopień 20_21'!$G$9:$G$773,D43,'1 stopień 20_21'!$K$9:$K$773,"CKZ Opole")</f>
        <v>0</v>
      </c>
      <c r="AE43" s="104">
        <f>SUMIFS('1 stopień 20_21'!$I$9:$I$773,'1 stopień 20_21'!$G$9:$G$773,D43,'1 stopień 20_21'!$K$9:$K$773,"Chojnów")</f>
        <v>0</v>
      </c>
      <c r="AF43" s="104">
        <f>SUMIFS('1 stopień 20_21'!$I$9:$I$773,'1 stopień 20_21'!$G$9:$G$773,D43,'1 stopień 20_21'!$K$9:$K$773,"")</f>
        <v>0</v>
      </c>
      <c r="AG43" s="105">
        <f t="shared" si="1"/>
        <v>0</v>
      </c>
    </row>
    <row r="44" spans="2:33" ht="15.75" customHeight="1">
      <c r="B44" s="106" t="s">
        <v>79</v>
      </c>
      <c r="C44" s="107">
        <v>522301</v>
      </c>
      <c r="D44" s="107" t="s">
        <v>43</v>
      </c>
      <c r="E44" s="106" t="s">
        <v>741</v>
      </c>
      <c r="F44" s="103">
        <f>SUMIF('1 stopień 20_21'!G$9:G$773,D44,'1 stopień 20_21'!I$9:I$773)</f>
        <v>363</v>
      </c>
      <c r="G44" s="104">
        <f>SUMIFS('1 stopień 20_21'!$I$9:$I$773,'1 stopień 20_21'!$G$9:$G$773,D44,'1 stopień 20_21'!$K$9:$K$773,"CKZ Bielawa")</f>
        <v>0</v>
      </c>
      <c r="H44" s="104">
        <f>SUMIFS('1 stopień 20_21'!$I$9:$I$773,'1 stopień 20_21'!$G$9:$G$773,D44,'1 stopień 20_21'!$K$9:$K$773,"GCKZ Głogów")</f>
        <v>0</v>
      </c>
      <c r="I44" s="104">
        <f>SUMIFS('1 stopień 20_21'!$I$9:$I$773,'1 stopień 20_21'!$G$9:$G$773,D44,'1 stopień 20_21'!$K$9:$K$773,"CKZ Jawor")</f>
        <v>0</v>
      </c>
      <c r="J44" s="104">
        <f>SUMIFS('1 stopień 20_21'!$I$9:$I$773,'1 stopień 20_21'!$G$9:$G$773,D44,'1 stopień 20_21'!$K$9:$K$773,"JCKZ Jelenia Góra")</f>
        <v>28</v>
      </c>
      <c r="K44" s="104">
        <f>SUMIFS('1 stopień 20_21'!$I$9:$I$773,'1 stopień 20_21'!$G$9:$G$773,D44,'1 stopień 20_21'!$K$9:$K$773,"CKZ Kłodzko")</f>
        <v>27</v>
      </c>
      <c r="L44" s="104">
        <f>SUMIFS('1 stopień 20_21'!$I$9:$I$773,'1 stopień 20_21'!$G$9:$G$773,D44,'1 stopień 20_21'!$K$9:$K$773,"CKZ Legnica")</f>
        <v>140</v>
      </c>
      <c r="M44" s="104">
        <f>SUMIFS('1 stopień 20_21'!$I$9:$I$773,'1 stopień 20_21'!$G$9:$G$773,D44,'1 stopień 20_21'!$K$9:$K$773,"CKZ Oleśnica")</f>
        <v>49</v>
      </c>
      <c r="N44" s="104">
        <f>SUMIFS('1 stopień 20_21'!$I$9:$I$773,'1 stopień 20_21'!$G$9:$G$773,D44,'1 stopień 20_21'!$K$9:$K$773,"CKZ Świdnica")</f>
        <v>54</v>
      </c>
      <c r="O44" s="104">
        <f>SUMIFS('1 stopień 20_21'!$I$9:$I$773,'1 stopień 20_21'!$G$9:$G$773,D44,'1 stopień 20_21'!$K$9:$K$773,"CKZ Wołów")</f>
        <v>31</v>
      </c>
      <c r="P44" s="104">
        <f>SUMIFS('1 stopień 20_21'!$I$9:$I$773,'1 stopień 20_21'!$G$9:$G$773,D44,'1 stopień 20_21'!$K$9:$K$773,"CKZ Ziębice")</f>
        <v>11</v>
      </c>
      <c r="Q44" s="104">
        <f>SUMIFS('1 stopień 20_21'!$I$9:$I$773,'1 stopień 20_21'!$G$9:$G$773,D44,'1 stopień 20_21'!$K$9:$K$773,"CKZ Dobrodzień")</f>
        <v>0</v>
      </c>
      <c r="R44" s="104">
        <f>SUMIFS('1 stopień 20_21'!$I$9:$I$773,'1 stopień 20_21'!$G$9:$G$773,D44,'1 stopień 20_21'!$K$9:$K$773,"CKZ Głubczyce")</f>
        <v>0</v>
      </c>
      <c r="S44" s="104">
        <f>SUMIFS('1 stopień 20_21'!$I$9:$I$773,'1 stopień 20_21'!$G$9:$G$773,D44,'1 stopień 20_21'!$K$9:$K$773,"CKZ Kędzierzyn Kożle")</f>
        <v>0</v>
      </c>
      <c r="T44" s="104">
        <f>SUMIFS('1 stopień 20_21'!$I$9:$I$773,'1 stopień 20_21'!$G$9:$G$773,D44,'1 stopień 20_21'!$K$9:$K$773,"CKZ Kluczbork")</f>
        <v>0</v>
      </c>
      <c r="U44" s="104">
        <f>SUMIFS('1 stopień 20_21'!$I$9:$I$773,'1 stopień 20_21'!$G$9:$G$773,D44,'1 stopień 20_21'!$K$9:$K$773,"CKZ Krotoszyn")</f>
        <v>0</v>
      </c>
      <c r="V44" s="104">
        <f>SUMIFS('1 stopień 20_21'!$I$9:$I$773,'1 stopień 20_21'!$G$9:$G$773,D44,'1 stopień 20_21'!$K$9:$K$773,"CKZ Olkusz")</f>
        <v>0</v>
      </c>
      <c r="W44" s="104">
        <f>SUMIFS('1 stopień 20_21'!$I$9:$I$773,'1 stopień 20_21'!$G$9:$G$773,D44,'1 stopień 20_21'!$K$9:$K$773,"CKZ Wschowa")</f>
        <v>1</v>
      </c>
      <c r="X44" s="104">
        <f>SUMIFS('1 stopień 20_21'!$I$9:$I$773,'1 stopień 20_21'!$G$9:$G$773,D44,'1 stopień 20_21'!$K$9:$K$773,"CKZ Zielona Góra")</f>
        <v>0</v>
      </c>
      <c r="Y44" s="104">
        <f>SUMIFS('1 stopień 20_21'!$I$9:$I$773,'1 stopień 20_21'!$G$9:$G$773,D44,'1 stopień 20_21'!$K$9:$K$773,"Rzemieślnicza Wałbrzych")</f>
        <v>13</v>
      </c>
      <c r="Z44" s="104">
        <f>SUMIFS('1 stopień 20_21'!$I$9:$I$773,'1 stopień 20_21'!$G$9:$G$773,D44,'1 stopień 20_21'!$K$9:$K$773,"CKZ Mosina")</f>
        <v>0</v>
      </c>
      <c r="AA44" s="104">
        <f>SUMIFS('1 stopień 20_21'!$I$9:$I$773,'1 stopień 20_21'!$G$9:$G$773,D44,'1 stopień 20_21'!$K$9:$K$773,"CKZ Słupsk")</f>
        <v>0</v>
      </c>
      <c r="AB44" s="104">
        <f>SUMIFS('1 stopień 20_21'!$I$9:$I$773,'1 stopień 20_21'!$G$9:$G$773,D44,'1 stopień 20_21'!$K$9:$K$773,"Toyota")</f>
        <v>0</v>
      </c>
      <c r="AC44" s="104">
        <f>SUMIFS('1 stopień 20_21'!$I$9:$I$773,'1 stopień 20_21'!$G$9:$G$773,D44,'1 stopień 20_21'!$K$9:$K$773,"CKZ Wrocław")</f>
        <v>0</v>
      </c>
      <c r="AD44" s="104">
        <f>SUMIFS('1 stopień 20_21'!$I$9:$I$773,'1 stopień 20_21'!$G$9:$G$773,D44,'1 stopień 20_21'!$K$9:$K$773,"CKZ Opole")</f>
        <v>0</v>
      </c>
      <c r="AE44" s="104">
        <f>SUMIFS('1 stopień 20_21'!$I$9:$I$773,'1 stopień 20_21'!$G$9:$G$773,D44,'1 stopień 20_21'!$K$9:$K$773,"Chojnów")</f>
        <v>9</v>
      </c>
      <c r="AF44" s="104">
        <f>SUMIFS('1 stopień 20_21'!$I$9:$I$773,'1 stopień 20_21'!$G$9:$G$773,D44,'1 stopień 20_21'!$K$9:$K$773,"")</f>
        <v>0</v>
      </c>
      <c r="AG44" s="105">
        <f t="shared" si="1"/>
        <v>363</v>
      </c>
    </row>
    <row r="45" spans="2:33">
      <c r="B45" s="106" t="s">
        <v>619</v>
      </c>
      <c r="C45" s="107">
        <v>513101</v>
      </c>
      <c r="D45" s="107" t="s">
        <v>227</v>
      </c>
      <c r="E45" s="106" t="s">
        <v>739</v>
      </c>
      <c r="F45" s="103">
        <f>SUMIF('1 stopień 20_21'!G$9:G$773,D45,'1 stopień 20_21'!I$9:I$773)</f>
        <v>1</v>
      </c>
      <c r="G45" s="104">
        <f>SUMIFS('1 stopień 20_21'!$I$9:$I$773,'1 stopień 20_21'!$G$9:$G$773,D45,'1 stopień 20_21'!$K$9:$K$773,"CKZ Bielawa")</f>
        <v>0</v>
      </c>
      <c r="H45" s="104">
        <f>SUMIFS('1 stopień 20_21'!$I$9:$I$773,'1 stopień 20_21'!$G$9:$G$773,D45,'1 stopień 20_21'!$K$9:$K$773,"GCKZ Głogów")</f>
        <v>0</v>
      </c>
      <c r="I45" s="104">
        <f>SUMIFS('1 stopień 20_21'!$I$9:$I$773,'1 stopień 20_21'!$G$9:$G$773,D45,'1 stopień 20_21'!$K$9:$K$773,"CKZ Jawor")</f>
        <v>0</v>
      </c>
      <c r="J45" s="104">
        <f>SUMIFS('1 stopień 20_21'!$I$9:$I$773,'1 stopień 20_21'!$G$9:$G$773,D45,'1 stopień 20_21'!$K$9:$K$773,"JCKZ Jelenia Góra")</f>
        <v>0</v>
      </c>
      <c r="K45" s="104">
        <f>SUMIFS('1 stopień 20_21'!$I$9:$I$773,'1 stopień 20_21'!$G$9:$G$773,D45,'1 stopień 20_21'!$K$9:$K$773,"CKZ Kłodzko")</f>
        <v>0</v>
      </c>
      <c r="L45" s="104">
        <f>SUMIFS('1 stopień 20_21'!$I$9:$I$773,'1 stopień 20_21'!$G$9:$G$773,D45,'1 stopień 20_21'!$K$9:$K$773,"CKZ Legnica")</f>
        <v>0</v>
      </c>
      <c r="M45" s="104">
        <f>SUMIFS('1 stopień 20_21'!$I$9:$I$773,'1 stopień 20_21'!$G$9:$G$773,D45,'1 stopień 20_21'!$K$9:$K$773,"CKZ Oleśnica")</f>
        <v>0</v>
      </c>
      <c r="N45" s="104">
        <f>SUMIFS('1 stopień 20_21'!$I$9:$I$773,'1 stopień 20_21'!$G$9:$G$773,D45,'1 stopień 20_21'!$K$9:$K$773,"CKZ Świdnica")</f>
        <v>0</v>
      </c>
      <c r="O45" s="104">
        <f>SUMIFS('1 stopień 20_21'!$I$9:$I$773,'1 stopień 20_21'!$G$9:$G$773,D45,'1 stopień 20_21'!$K$9:$K$773,"CKZ Wołów")</f>
        <v>0</v>
      </c>
      <c r="P45" s="104">
        <f>SUMIFS('1 stopień 20_21'!$I$9:$I$773,'1 stopień 20_21'!$G$9:$G$773,D45,'1 stopień 20_21'!$K$9:$K$773,"CKZ Ziębice")</f>
        <v>0</v>
      </c>
      <c r="Q45" s="104">
        <f>SUMIFS('1 stopień 20_21'!$I$9:$I$773,'1 stopień 20_21'!$G$9:$G$773,D45,'1 stopień 20_21'!$K$9:$K$773,"CKZ Dobrodzień")</f>
        <v>0</v>
      </c>
      <c r="R45" s="104">
        <f>SUMIFS('1 stopień 20_21'!$I$9:$I$773,'1 stopień 20_21'!$G$9:$G$773,D45,'1 stopień 20_21'!$K$9:$K$773,"CKZ Głubczyce")</f>
        <v>0</v>
      </c>
      <c r="S45" s="104">
        <f>SUMIFS('1 stopień 20_21'!$I$9:$I$773,'1 stopień 20_21'!$G$9:$G$773,D45,'1 stopień 20_21'!$K$9:$K$773,"CKZ Kędzierzyn Kożle")</f>
        <v>0</v>
      </c>
      <c r="T45" s="104">
        <f>SUMIFS('1 stopień 20_21'!$I$9:$I$773,'1 stopień 20_21'!$G$9:$G$773,D45,'1 stopień 20_21'!$K$9:$K$773,"CKZ Kluczbork")</f>
        <v>0</v>
      </c>
      <c r="U45" s="104">
        <f>SUMIFS('1 stopień 20_21'!$I$9:$I$773,'1 stopień 20_21'!$G$9:$G$773,D45,'1 stopień 20_21'!$K$9:$K$773,"CKZ Krotoszyn")</f>
        <v>0</v>
      </c>
      <c r="V45" s="104">
        <f>SUMIFS('1 stopień 20_21'!$I$9:$I$773,'1 stopień 20_21'!$G$9:$G$773,D45,'1 stopień 20_21'!$K$9:$K$773,"CKZ Olkusz")</f>
        <v>0</v>
      </c>
      <c r="W45" s="104">
        <f>SUMIFS('1 stopień 20_21'!$I$9:$I$773,'1 stopień 20_21'!$G$9:$G$773,D45,'1 stopień 20_21'!$K$9:$K$773,"CKZ Wschowa")</f>
        <v>0</v>
      </c>
      <c r="X45" s="104">
        <f>SUMIFS('1 stopień 20_21'!$I$9:$I$773,'1 stopień 20_21'!$G$9:$G$773,D45,'1 stopień 20_21'!$K$9:$K$773,"CKZ Zielona Góra")</f>
        <v>1</v>
      </c>
      <c r="Y45" s="104">
        <f>SUMIFS('1 stopień 20_21'!$I$9:$I$773,'1 stopień 20_21'!$G$9:$G$773,D45,'1 stopień 20_21'!$K$9:$K$773,"Rzemieślnicza Wałbrzych")</f>
        <v>0</v>
      </c>
      <c r="Z45" s="104">
        <f>SUMIFS('1 stopień 20_21'!$I$9:$I$773,'1 stopień 20_21'!$G$9:$G$773,D45,'1 stopień 20_21'!$K$9:$K$773,"CKZ Mosina")</f>
        <v>0</v>
      </c>
      <c r="AA45" s="104">
        <f>SUMIFS('1 stopień 20_21'!$I$9:$I$773,'1 stopień 20_21'!$G$9:$G$773,D45,'1 stopień 20_21'!$K$9:$K$773,"CKZ Słupsk")</f>
        <v>0</v>
      </c>
      <c r="AB45" s="104">
        <f>SUMIFS('1 stopień 20_21'!$I$9:$I$773,'1 stopień 20_21'!$G$9:$G$773,D45,'1 stopień 20_21'!$K$9:$K$773,"Toyota")</f>
        <v>0</v>
      </c>
      <c r="AC45" s="104">
        <f>SUMIFS('1 stopień 20_21'!$I$9:$I$773,'1 stopień 20_21'!$G$9:$G$773,D45,'1 stopień 20_21'!$K$9:$K$773,"CKZ Wrocław")</f>
        <v>0</v>
      </c>
      <c r="AD45" s="104">
        <f>SUMIFS('1 stopień 20_21'!$I$9:$I$773,'1 stopień 20_21'!$G$9:$G$773,D45,'1 stopień 20_21'!$K$9:$K$773,"CKZ Opole")</f>
        <v>0</v>
      </c>
      <c r="AE45" s="104">
        <f>SUMIFS('1 stopień 20_21'!$I$9:$I$773,'1 stopień 20_21'!$G$9:$G$773,D45,'1 stopień 20_21'!$K$9:$K$773,"Chojnów")</f>
        <v>0</v>
      </c>
      <c r="AF45" s="104">
        <f>SUMIFS('1 stopień 20_21'!$I$9:$I$773,'1 stopień 20_21'!$G$9:$G$773,D45,'1 stopień 20_21'!$K$9:$K$773,"")</f>
        <v>0</v>
      </c>
      <c r="AG45" s="105">
        <f t="shared" si="1"/>
        <v>1</v>
      </c>
    </row>
    <row r="46" spans="2:33">
      <c r="B46" s="106" t="s">
        <v>80</v>
      </c>
      <c r="C46" s="107">
        <v>512001</v>
      </c>
      <c r="D46" s="107" t="s">
        <v>81</v>
      </c>
      <c r="E46" s="106" t="s">
        <v>743</v>
      </c>
      <c r="F46" s="103">
        <f>SUMIF('1 stopień 20_21'!G$9:G$773,D46,'1 stopień 20_21'!I$9:I$773)</f>
        <v>207</v>
      </c>
      <c r="G46" s="104">
        <f>SUMIFS('1 stopień 20_21'!$I$9:$I$773,'1 stopień 20_21'!$G$9:$G$773,D46,'1 stopień 20_21'!$K$9:$K$773,"CKZ Bielawa")</f>
        <v>0</v>
      </c>
      <c r="H46" s="104">
        <f>SUMIFS('1 stopień 20_21'!$I$9:$I$773,'1 stopień 20_21'!$G$9:$G$773,D46,'1 stopień 20_21'!$K$9:$K$773,"GCKZ Głogów")</f>
        <v>0</v>
      </c>
      <c r="I46" s="104">
        <f>SUMIFS('1 stopień 20_21'!$I$9:$I$773,'1 stopień 20_21'!$G$9:$G$773,D46,'1 stopień 20_21'!$K$9:$K$773,"CKZ Jawor")</f>
        <v>0</v>
      </c>
      <c r="J46" s="104">
        <f>SUMIFS('1 stopień 20_21'!$I$9:$I$773,'1 stopień 20_21'!$G$9:$G$773,D46,'1 stopień 20_21'!$K$9:$K$773,"JCKZ Jelenia Góra")</f>
        <v>39</v>
      </c>
      <c r="K46" s="104">
        <f>SUMIFS('1 stopień 20_21'!$I$9:$I$773,'1 stopień 20_21'!$G$9:$G$773,D46,'1 stopień 20_21'!$K$9:$K$773,"CKZ Kłodzko")</f>
        <v>16</v>
      </c>
      <c r="L46" s="104">
        <f>SUMIFS('1 stopień 20_21'!$I$9:$I$773,'1 stopień 20_21'!$G$9:$G$773,D46,'1 stopień 20_21'!$K$9:$K$773,"CKZ Legnica")</f>
        <v>46</v>
      </c>
      <c r="M46" s="104">
        <f>SUMIFS('1 stopień 20_21'!$I$9:$I$773,'1 stopień 20_21'!$G$9:$G$773,D46,'1 stopień 20_21'!$K$9:$K$773,"CKZ Oleśnica")</f>
        <v>29</v>
      </c>
      <c r="N46" s="104">
        <f>SUMIFS('1 stopień 20_21'!$I$9:$I$773,'1 stopień 20_21'!$G$9:$G$773,D46,'1 stopień 20_21'!$K$9:$K$773,"CKZ Świdnica")</f>
        <v>30</v>
      </c>
      <c r="O46" s="104">
        <f>SUMIFS('1 stopień 20_21'!$I$9:$I$773,'1 stopień 20_21'!$G$9:$G$773,D46,'1 stopień 20_21'!$K$9:$K$773,"CKZ Wołów")</f>
        <v>17</v>
      </c>
      <c r="P46" s="104">
        <f>SUMIFS('1 stopień 20_21'!$I$9:$I$773,'1 stopień 20_21'!$G$9:$G$773,D46,'1 stopień 20_21'!$K$9:$K$773,"CKZ Ziębice")</f>
        <v>9</v>
      </c>
      <c r="Q46" s="104">
        <f>SUMIFS('1 stopień 20_21'!$I$9:$I$773,'1 stopień 20_21'!$G$9:$G$773,D46,'1 stopień 20_21'!$K$9:$K$773,"CKZ Dobrodzień")</f>
        <v>0</v>
      </c>
      <c r="R46" s="104">
        <f>SUMIFS('1 stopień 20_21'!$I$9:$I$773,'1 stopień 20_21'!$G$9:$G$773,D46,'1 stopień 20_21'!$K$9:$K$773,"CKZ Głubczyce")</f>
        <v>0</v>
      </c>
      <c r="S46" s="104">
        <f>SUMIFS('1 stopień 20_21'!$I$9:$I$773,'1 stopień 20_21'!$G$9:$G$773,D46,'1 stopień 20_21'!$K$9:$K$773,"CKZ Kędzierzyn Kożle")</f>
        <v>0</v>
      </c>
      <c r="T46" s="104">
        <f>SUMIFS('1 stopień 20_21'!$I$9:$I$773,'1 stopień 20_21'!$G$9:$G$773,D46,'1 stopień 20_21'!$K$9:$K$773,"CKZ Kluczbork")</f>
        <v>0</v>
      </c>
      <c r="U46" s="104">
        <f>SUMIFS('1 stopień 20_21'!$I$9:$I$773,'1 stopień 20_21'!$G$9:$G$773,D46,'1 stopień 20_21'!$K$9:$K$773,"CKZ Krotoszyn")</f>
        <v>0</v>
      </c>
      <c r="V46" s="104">
        <f>SUMIFS('1 stopień 20_21'!$I$9:$I$773,'1 stopień 20_21'!$G$9:$G$773,D46,'1 stopień 20_21'!$K$9:$K$773,"CKZ Olkusz")</f>
        <v>0</v>
      </c>
      <c r="W46" s="104">
        <f>SUMIFS('1 stopień 20_21'!$I$9:$I$773,'1 stopień 20_21'!$G$9:$G$773,D46,'1 stopień 20_21'!$K$9:$K$773,"CKZ Wschowa")</f>
        <v>6</v>
      </c>
      <c r="X46" s="104">
        <f>SUMIFS('1 stopień 20_21'!$I$9:$I$773,'1 stopień 20_21'!$G$9:$G$773,D46,'1 stopień 20_21'!$K$9:$K$773,"CKZ Zielona Góra")</f>
        <v>0</v>
      </c>
      <c r="Y46" s="104">
        <f>SUMIFS('1 stopień 20_21'!$I$9:$I$773,'1 stopień 20_21'!$G$9:$G$773,D46,'1 stopień 20_21'!$K$9:$K$773,"Rzemieślnicza Wałbrzych")</f>
        <v>0</v>
      </c>
      <c r="Z46" s="104">
        <f>SUMIFS('1 stopień 20_21'!$I$9:$I$773,'1 stopień 20_21'!$G$9:$G$773,D46,'1 stopień 20_21'!$K$9:$K$773,"CKZ Mosina")</f>
        <v>0</v>
      </c>
      <c r="AA46" s="104">
        <f>SUMIFS('1 stopień 20_21'!$I$9:$I$773,'1 stopień 20_21'!$G$9:$G$773,D46,'1 stopień 20_21'!$K$9:$K$773,"CKZ Słupsk")</f>
        <v>0</v>
      </c>
      <c r="AB46" s="104">
        <f>SUMIFS('1 stopień 20_21'!$I$9:$I$773,'1 stopień 20_21'!$G$9:$G$773,D46,'1 stopień 20_21'!$K$9:$K$773,"Toyota")</f>
        <v>0</v>
      </c>
      <c r="AC46" s="104">
        <f>SUMIFS('1 stopień 20_21'!$I$9:$I$773,'1 stopień 20_21'!$G$9:$G$773,D46,'1 stopień 20_21'!$K$9:$K$773,"CKZ Wrocław")</f>
        <v>10</v>
      </c>
      <c r="AD46" s="104">
        <f>SUMIFS('1 stopień 20_21'!$I$9:$I$773,'1 stopień 20_21'!$G$9:$G$773,D46,'1 stopień 20_21'!$K$9:$K$773,"CKZ Opole")</f>
        <v>5</v>
      </c>
      <c r="AE46" s="104">
        <f>SUMIFS('1 stopień 20_21'!$I$9:$I$773,'1 stopień 20_21'!$G$9:$G$773,D46,'1 stopień 20_21'!$K$9:$K$773,"Chojnów")</f>
        <v>0</v>
      </c>
      <c r="AF46" s="104">
        <f>SUMIFS('1 stopień 20_21'!$I$9:$I$773,'1 stopień 20_21'!$G$9:$G$773,D46,'1 stopień 20_21'!$K$9:$K$773,"")</f>
        <v>0</v>
      </c>
      <c r="AG46" s="105">
        <f t="shared" si="1"/>
        <v>207</v>
      </c>
    </row>
    <row r="47" spans="2:33">
      <c r="B47" s="106" t="s">
        <v>620</v>
      </c>
      <c r="C47" s="107">
        <v>962907</v>
      </c>
      <c r="D47" s="107" t="s">
        <v>194</v>
      </c>
      <c r="E47" s="106" t="s">
        <v>744</v>
      </c>
      <c r="F47" s="103">
        <f>SUMIF('1 stopień 20_21'!G$9:G$773,D47,'1 stopień 20_21'!I$9:I$773)</f>
        <v>8</v>
      </c>
      <c r="G47" s="104">
        <f>SUMIFS('1 stopień 20_21'!$I$9:$I$773,'1 stopień 20_21'!$G$9:$G$773,D47,'1 stopień 20_21'!$K$9:$K$773,"CKZ Bielawa")</f>
        <v>0</v>
      </c>
      <c r="H47" s="104">
        <f>SUMIFS('1 stopień 20_21'!$I$9:$I$773,'1 stopień 20_21'!$G$9:$G$773,D47,'1 stopień 20_21'!$K$9:$K$773,"GCKZ Głogów")</f>
        <v>0</v>
      </c>
      <c r="I47" s="104">
        <f>SUMIFS('1 stopień 20_21'!$I$9:$I$773,'1 stopień 20_21'!$G$9:$G$773,D47,'1 stopień 20_21'!$K$9:$K$773,"CKZ Jawor")</f>
        <v>0</v>
      </c>
      <c r="J47" s="104">
        <f>SUMIFS('1 stopień 20_21'!$I$9:$I$773,'1 stopień 20_21'!$G$9:$G$773,D47,'1 stopień 20_21'!$K$9:$K$773,"JCKZ Jelenia Góra")</f>
        <v>0</v>
      </c>
      <c r="K47" s="104">
        <f>SUMIFS('1 stopień 20_21'!$I$9:$I$773,'1 stopień 20_21'!$G$9:$G$773,D47,'1 stopień 20_21'!$K$9:$K$773,"CKZ Kłodzko")</f>
        <v>8</v>
      </c>
      <c r="L47" s="104">
        <f>SUMIFS('1 stopień 20_21'!$I$9:$I$773,'1 stopień 20_21'!$G$9:$G$773,D47,'1 stopień 20_21'!$K$9:$K$773,"CKZ Legnica")</f>
        <v>0</v>
      </c>
      <c r="M47" s="104">
        <f>SUMIFS('1 stopień 20_21'!$I$9:$I$773,'1 stopień 20_21'!$G$9:$G$773,D47,'1 stopień 20_21'!$K$9:$K$773,"CKZ Oleśnica")</f>
        <v>0</v>
      </c>
      <c r="N47" s="104">
        <f>SUMIFS('1 stopień 20_21'!$I$9:$I$773,'1 stopień 20_21'!$G$9:$G$773,D47,'1 stopień 20_21'!$K$9:$K$773,"CKZ Świdnica")</f>
        <v>0</v>
      </c>
      <c r="O47" s="104">
        <f>SUMIFS('1 stopień 20_21'!$I$9:$I$773,'1 stopień 20_21'!$G$9:$G$773,D47,'1 stopień 20_21'!$K$9:$K$773,"CKZ Wołów")</f>
        <v>0</v>
      </c>
      <c r="P47" s="104">
        <f>SUMIFS('1 stopień 20_21'!$I$9:$I$773,'1 stopień 20_21'!$G$9:$G$773,D47,'1 stopień 20_21'!$K$9:$K$773,"CKZ Ziębice")</f>
        <v>0</v>
      </c>
      <c r="Q47" s="104">
        <f>SUMIFS('1 stopień 20_21'!$I$9:$I$773,'1 stopień 20_21'!$G$9:$G$773,D47,'1 stopień 20_21'!$K$9:$K$773,"CKZ Dobrodzień")</f>
        <v>0</v>
      </c>
      <c r="R47" s="104">
        <f>SUMIFS('1 stopień 20_21'!$I$9:$I$773,'1 stopień 20_21'!$G$9:$G$773,D47,'1 stopień 20_21'!$K$9:$K$773,"CKZ Głubczyce")</f>
        <v>0</v>
      </c>
      <c r="S47" s="104">
        <f>SUMIFS('1 stopień 20_21'!$I$9:$I$773,'1 stopień 20_21'!$G$9:$G$773,D47,'1 stopień 20_21'!$K$9:$K$773,"CKZ Kędzierzyn Kożle")</f>
        <v>0</v>
      </c>
      <c r="T47" s="104">
        <f>SUMIFS('1 stopień 20_21'!$I$9:$I$773,'1 stopień 20_21'!$G$9:$G$773,D47,'1 stopień 20_21'!$K$9:$K$773,"CKZ Kluczbork")</f>
        <v>0</v>
      </c>
      <c r="U47" s="104">
        <f>SUMIFS('1 stopień 20_21'!$I$9:$I$773,'1 stopień 20_21'!$G$9:$G$773,D47,'1 stopień 20_21'!$K$9:$K$773,"CKZ Krotoszyn")</f>
        <v>0</v>
      </c>
      <c r="V47" s="104">
        <f>SUMIFS('1 stopień 20_21'!$I$9:$I$773,'1 stopień 20_21'!$G$9:$G$773,D47,'1 stopień 20_21'!$K$9:$K$773,"CKZ Olkusz")</f>
        <v>0</v>
      </c>
      <c r="W47" s="104">
        <f>SUMIFS('1 stopień 20_21'!$I$9:$I$773,'1 stopień 20_21'!$G$9:$G$773,D47,'1 stopień 20_21'!$K$9:$K$773,"CKZ Wschowa")</f>
        <v>0</v>
      </c>
      <c r="X47" s="104">
        <f>SUMIFS('1 stopień 20_21'!$I$9:$I$773,'1 stopień 20_21'!$G$9:$G$773,D47,'1 stopień 20_21'!$K$9:$K$773,"CKZ Zielona Góra")</f>
        <v>0</v>
      </c>
      <c r="Y47" s="104">
        <f>SUMIFS('1 stopień 20_21'!$I$9:$I$773,'1 stopień 20_21'!$G$9:$G$773,D47,'1 stopień 20_21'!$K$9:$K$773,"Rzemieślnicza Wałbrzych")</f>
        <v>0</v>
      </c>
      <c r="Z47" s="104">
        <f>SUMIFS('1 stopień 20_21'!$I$9:$I$773,'1 stopień 20_21'!$G$9:$G$773,D47,'1 stopień 20_21'!$K$9:$K$773,"CKZ Mosina")</f>
        <v>0</v>
      </c>
      <c r="AA47" s="104">
        <f>SUMIFS('1 stopień 20_21'!$I$9:$I$773,'1 stopień 20_21'!$G$9:$G$773,D47,'1 stopień 20_21'!$K$9:$K$773,"CKZ Słupsk")</f>
        <v>0</v>
      </c>
      <c r="AB47" s="104">
        <f>SUMIFS('1 stopień 20_21'!$I$9:$I$773,'1 stopień 20_21'!$G$9:$G$773,D47,'1 stopień 20_21'!$K$9:$K$773,"Toyota")</f>
        <v>0</v>
      </c>
      <c r="AC47" s="104">
        <f>SUMIFS('1 stopień 20_21'!$I$9:$I$773,'1 stopień 20_21'!$G$9:$G$773,D47,'1 stopień 20_21'!$K$9:$K$773,"CKZ Wrocław")</f>
        <v>0</v>
      </c>
      <c r="AD47" s="104">
        <f>SUMIFS('1 stopień 20_21'!$I$9:$I$773,'1 stopień 20_21'!$G$9:$G$773,D47,'1 stopień 20_21'!$K$9:$K$773,"CKZ Opole")</f>
        <v>0</v>
      </c>
      <c r="AE47" s="104">
        <f>SUMIFS('1 stopień 20_21'!$I$9:$I$773,'1 stopień 20_21'!$G$9:$G$773,D47,'1 stopień 20_21'!$K$9:$K$773,"Chojnów")</f>
        <v>0</v>
      </c>
      <c r="AF47" s="104">
        <f>SUMIFS('1 stopień 20_21'!$I$9:$I$773,'1 stopień 20_21'!$G$9:$G$773,D47,'1 stopień 20_21'!$K$9:$K$773,"")</f>
        <v>0</v>
      </c>
      <c r="AG47" s="105">
        <f t="shared" si="1"/>
        <v>8</v>
      </c>
    </row>
    <row r="48" spans="2:33">
      <c r="B48" s="106" t="s">
        <v>621</v>
      </c>
      <c r="C48" s="107">
        <v>941203</v>
      </c>
      <c r="D48" s="107" t="s">
        <v>747</v>
      </c>
      <c r="E48" s="106" t="s">
        <v>746</v>
      </c>
      <c r="F48" s="103">
        <f>SUMIF('1 stopień 20_21'!G$9:G$773,D48,'1 stopień 20_21'!I$9:I$773)</f>
        <v>0</v>
      </c>
      <c r="G48" s="104">
        <f>SUMIFS('1 stopień 20_21'!$I$9:$I$773,'1 stopień 20_21'!$G$9:$G$773,D48,'1 stopień 20_21'!$K$9:$K$773,"CKZ Bielawa")</f>
        <v>0</v>
      </c>
      <c r="H48" s="104">
        <f>SUMIFS('1 stopień 20_21'!$I$9:$I$773,'1 stopień 20_21'!$G$9:$G$773,D48,'1 stopień 20_21'!$K$9:$K$773,"GCKZ Głogów")</f>
        <v>0</v>
      </c>
      <c r="I48" s="104">
        <f>SUMIFS('1 stopień 20_21'!$I$9:$I$773,'1 stopień 20_21'!$G$9:$G$773,D48,'1 stopień 20_21'!$K$9:$K$773,"CKZ Jawor")</f>
        <v>0</v>
      </c>
      <c r="J48" s="104">
        <f>SUMIFS('1 stopień 20_21'!$I$9:$I$773,'1 stopień 20_21'!$G$9:$G$773,D48,'1 stopień 20_21'!$K$9:$K$773,"JCKZ Jelenia Góra")</f>
        <v>0</v>
      </c>
      <c r="K48" s="104">
        <f>SUMIFS('1 stopień 20_21'!$I$9:$I$773,'1 stopień 20_21'!$G$9:$G$773,D48,'1 stopień 20_21'!$K$9:$K$773,"CKZ Kłodzko")</f>
        <v>0</v>
      </c>
      <c r="L48" s="104">
        <f>SUMIFS('1 stopień 20_21'!$I$9:$I$773,'1 stopień 20_21'!$G$9:$G$773,D48,'1 stopień 20_21'!$K$9:$K$773,"CKZ Legnica")</f>
        <v>0</v>
      </c>
      <c r="M48" s="104">
        <f>SUMIFS('1 stopień 20_21'!$I$9:$I$773,'1 stopień 20_21'!$G$9:$G$773,D48,'1 stopień 20_21'!$K$9:$K$773,"CKZ Oleśnica")</f>
        <v>0</v>
      </c>
      <c r="N48" s="104">
        <f>SUMIFS('1 stopień 20_21'!$I$9:$I$773,'1 stopień 20_21'!$G$9:$G$773,D48,'1 stopień 20_21'!$K$9:$K$773,"CKZ Świdnica")</f>
        <v>0</v>
      </c>
      <c r="O48" s="104">
        <f>SUMIFS('1 stopień 20_21'!$I$9:$I$773,'1 stopień 20_21'!$G$9:$G$773,D48,'1 stopień 20_21'!$K$9:$K$773,"CKZ Wołów")</f>
        <v>0</v>
      </c>
      <c r="P48" s="104">
        <f>SUMIFS('1 stopień 20_21'!$I$9:$I$773,'1 stopień 20_21'!$G$9:$G$773,D48,'1 stopień 20_21'!$K$9:$K$773,"CKZ Ziębice")</f>
        <v>0</v>
      </c>
      <c r="Q48" s="104">
        <f>SUMIFS('1 stopień 20_21'!$I$9:$I$773,'1 stopień 20_21'!$G$9:$G$773,D48,'1 stopień 20_21'!$K$9:$K$773,"CKZ Dobrodzień")</f>
        <v>0</v>
      </c>
      <c r="R48" s="104">
        <f>SUMIFS('1 stopień 20_21'!$I$9:$I$773,'1 stopień 20_21'!$G$9:$G$773,D48,'1 stopień 20_21'!$K$9:$K$773,"CKZ Głubczyce")</f>
        <v>0</v>
      </c>
      <c r="S48" s="104">
        <f>SUMIFS('1 stopień 20_21'!$I$9:$I$773,'1 stopień 20_21'!$G$9:$G$773,D48,'1 stopień 20_21'!$K$9:$K$773,"CKZ Kędzierzyn Kożle")</f>
        <v>0</v>
      </c>
      <c r="T48" s="104">
        <f>SUMIFS('1 stopień 20_21'!$I$9:$I$773,'1 stopień 20_21'!$G$9:$G$773,D48,'1 stopień 20_21'!$K$9:$K$773,"CKZ Kluczbork")</f>
        <v>0</v>
      </c>
      <c r="U48" s="104">
        <f>SUMIFS('1 stopień 20_21'!$I$9:$I$773,'1 stopień 20_21'!$G$9:$G$773,D48,'1 stopień 20_21'!$K$9:$K$773,"CKZ Krotoszyn")</f>
        <v>0</v>
      </c>
      <c r="V48" s="104">
        <f>SUMIFS('1 stopień 20_21'!$I$9:$I$773,'1 stopień 20_21'!$G$9:$G$773,D48,'1 stopień 20_21'!$K$9:$K$773,"CKZ Olkusz")</f>
        <v>0</v>
      </c>
      <c r="W48" s="104">
        <f>SUMIFS('1 stopień 20_21'!$I$9:$I$773,'1 stopień 20_21'!$G$9:$G$773,D48,'1 stopień 20_21'!$K$9:$K$773,"CKZ Wschowa")</f>
        <v>0</v>
      </c>
      <c r="X48" s="104">
        <f>SUMIFS('1 stopień 20_21'!$I$9:$I$773,'1 stopień 20_21'!$G$9:$G$773,D48,'1 stopień 20_21'!$K$9:$K$773,"CKZ Zielona Góra")</f>
        <v>0</v>
      </c>
      <c r="Y48" s="104">
        <f>SUMIFS('1 stopień 20_21'!$I$9:$I$773,'1 stopień 20_21'!$G$9:$G$773,D48,'1 stopień 20_21'!$K$9:$K$773,"Rzemieślnicza Wałbrzych")</f>
        <v>0</v>
      </c>
      <c r="Z48" s="104">
        <f>SUMIFS('1 stopień 20_21'!$I$9:$I$773,'1 stopień 20_21'!$G$9:$G$773,D48,'1 stopień 20_21'!$K$9:$K$773,"CKZ Mosina")</f>
        <v>0</v>
      </c>
      <c r="AA48" s="104">
        <f>SUMIFS('1 stopień 20_21'!$I$9:$I$773,'1 stopień 20_21'!$G$9:$G$773,D48,'1 stopień 20_21'!$K$9:$K$773,"CKZ Słupsk")</f>
        <v>0</v>
      </c>
      <c r="AB48" s="104">
        <f>SUMIFS('1 stopień 20_21'!$I$9:$I$773,'1 stopień 20_21'!$G$9:$G$773,D48,'1 stopień 20_21'!$K$9:$K$773,"Toyota")</f>
        <v>0</v>
      </c>
      <c r="AC48" s="104">
        <f>SUMIFS('1 stopień 20_21'!$I$9:$I$773,'1 stopień 20_21'!$G$9:$G$773,D48,'1 stopień 20_21'!$K$9:$K$773,"CKZ Wrocław")</f>
        <v>0</v>
      </c>
      <c r="AD48" s="104">
        <f>SUMIFS('1 stopień 20_21'!$I$9:$I$773,'1 stopień 20_21'!$G$9:$G$773,D48,'1 stopień 20_21'!$K$9:$K$773,"CKZ Opole")</f>
        <v>0</v>
      </c>
      <c r="AE48" s="104">
        <f>SUMIFS('1 stopień 20_21'!$I$9:$I$773,'1 stopień 20_21'!$G$9:$G$773,D48,'1 stopień 20_21'!$K$9:$K$773,"Chojnów")</f>
        <v>0</v>
      </c>
      <c r="AF48" s="104">
        <f>SUMIFS('1 stopień 20_21'!$I$9:$I$773,'1 stopień 20_21'!$G$9:$G$773,D48,'1 stopień 20_21'!$K$9:$K$773,"")</f>
        <v>0</v>
      </c>
      <c r="AG48" s="105">
        <f t="shared" si="1"/>
        <v>0</v>
      </c>
    </row>
    <row r="49" spans="2:33">
      <c r="B49" s="106" t="s">
        <v>245</v>
      </c>
      <c r="C49" s="107">
        <v>911205</v>
      </c>
      <c r="D49" s="107" t="s">
        <v>249</v>
      </c>
      <c r="E49" s="106" t="s">
        <v>748</v>
      </c>
      <c r="F49" s="103">
        <f>SUMIF('1 stopień 20_21'!G$9:G$773,D49,'1 stopień 20_21'!I$9:I$773)</f>
        <v>0</v>
      </c>
      <c r="G49" s="104">
        <f>SUMIFS('1 stopień 20_21'!$I$9:$I$773,'1 stopień 20_21'!$G$9:$G$773,D49,'1 stopień 20_21'!$K$9:$K$773,"CKZ Bielawa")</f>
        <v>0</v>
      </c>
      <c r="H49" s="104">
        <f>SUMIFS('1 stopień 20_21'!$I$9:$I$773,'1 stopień 20_21'!$G$9:$G$773,D49,'1 stopień 20_21'!$K$9:$K$773,"GCKZ Głogów")</f>
        <v>0</v>
      </c>
      <c r="I49" s="104">
        <f>SUMIFS('1 stopień 20_21'!$I$9:$I$773,'1 stopień 20_21'!$G$9:$G$773,D49,'1 stopień 20_21'!$K$9:$K$773,"CKZ Jawor")</f>
        <v>0</v>
      </c>
      <c r="J49" s="104">
        <f>SUMIFS('1 stopień 20_21'!$I$9:$I$773,'1 stopień 20_21'!$G$9:$G$773,D49,'1 stopień 20_21'!$K$9:$K$773,"JCKZ Jelenia Góra")</f>
        <v>0</v>
      </c>
      <c r="K49" s="104">
        <f>SUMIFS('1 stopień 20_21'!$I$9:$I$773,'1 stopień 20_21'!$G$9:$G$773,D49,'1 stopień 20_21'!$K$9:$K$773,"CKZ Kłodzko")</f>
        <v>0</v>
      </c>
      <c r="L49" s="104">
        <f>SUMIFS('1 stopień 20_21'!$I$9:$I$773,'1 stopień 20_21'!$G$9:$G$773,D49,'1 stopień 20_21'!$K$9:$K$773,"CKZ Legnica")</f>
        <v>0</v>
      </c>
      <c r="M49" s="104">
        <f>SUMIFS('1 stopień 20_21'!$I$9:$I$773,'1 stopień 20_21'!$G$9:$G$773,D49,'1 stopień 20_21'!$K$9:$K$773,"CKZ Oleśnica")</f>
        <v>0</v>
      </c>
      <c r="N49" s="104">
        <f>SUMIFS('1 stopień 20_21'!$I$9:$I$773,'1 stopień 20_21'!$G$9:$G$773,D49,'1 stopień 20_21'!$K$9:$K$773,"CKZ Świdnica")</f>
        <v>0</v>
      </c>
      <c r="O49" s="104">
        <f>SUMIFS('1 stopień 20_21'!$I$9:$I$773,'1 stopień 20_21'!$G$9:$G$773,D49,'1 stopień 20_21'!$K$9:$K$773,"CKZ Wołów")</f>
        <v>0</v>
      </c>
      <c r="P49" s="104">
        <f>SUMIFS('1 stopień 20_21'!$I$9:$I$773,'1 stopień 20_21'!$G$9:$G$773,D49,'1 stopień 20_21'!$K$9:$K$773,"CKZ Ziębice")</f>
        <v>0</v>
      </c>
      <c r="Q49" s="104">
        <f>SUMIFS('1 stopień 20_21'!$I$9:$I$773,'1 stopień 20_21'!$G$9:$G$773,D49,'1 stopień 20_21'!$K$9:$K$773,"CKZ Dobrodzień")</f>
        <v>0</v>
      </c>
      <c r="R49" s="104">
        <f>SUMIFS('1 stopień 20_21'!$I$9:$I$773,'1 stopień 20_21'!$G$9:$G$773,D49,'1 stopień 20_21'!$K$9:$K$773,"CKZ Głubczyce")</f>
        <v>0</v>
      </c>
      <c r="S49" s="104">
        <f>SUMIFS('1 stopień 20_21'!$I$9:$I$773,'1 stopień 20_21'!$G$9:$G$773,D49,'1 stopień 20_21'!$K$9:$K$773,"CKZ Kędzierzyn Kożle")</f>
        <v>0</v>
      </c>
      <c r="T49" s="104">
        <f>SUMIFS('1 stopień 20_21'!$I$9:$I$773,'1 stopień 20_21'!$G$9:$G$773,D49,'1 stopień 20_21'!$K$9:$K$773,"CKZ Kluczbork")</f>
        <v>0</v>
      </c>
      <c r="U49" s="104">
        <f>SUMIFS('1 stopień 20_21'!$I$9:$I$773,'1 stopień 20_21'!$G$9:$G$773,D49,'1 stopień 20_21'!$K$9:$K$773,"CKZ Krotoszyn")</f>
        <v>0</v>
      </c>
      <c r="V49" s="104">
        <f>SUMIFS('1 stopień 20_21'!$I$9:$I$773,'1 stopień 20_21'!$G$9:$G$773,D49,'1 stopień 20_21'!$K$9:$K$773,"CKZ Olkusz")</f>
        <v>0</v>
      </c>
      <c r="W49" s="104">
        <f>SUMIFS('1 stopień 20_21'!$I$9:$I$773,'1 stopień 20_21'!$G$9:$G$773,D49,'1 stopień 20_21'!$K$9:$K$773,"CKZ Wschowa")</f>
        <v>0</v>
      </c>
      <c r="X49" s="104">
        <f>SUMIFS('1 stopień 20_21'!$I$9:$I$773,'1 stopień 20_21'!$G$9:$G$773,D49,'1 stopień 20_21'!$K$9:$K$773,"CKZ Zielona Góra")</f>
        <v>0</v>
      </c>
      <c r="Y49" s="104">
        <f>SUMIFS('1 stopień 20_21'!$I$9:$I$773,'1 stopień 20_21'!$G$9:$G$773,D49,'1 stopień 20_21'!$K$9:$K$773,"Rzemieślnicza Wałbrzych")</f>
        <v>0</v>
      </c>
      <c r="Z49" s="104">
        <f>SUMIFS('1 stopień 20_21'!$I$9:$I$773,'1 stopień 20_21'!$G$9:$G$773,D49,'1 stopień 20_21'!$K$9:$K$773,"CKZ Mosina")</f>
        <v>0</v>
      </c>
      <c r="AA49" s="104">
        <f>SUMIFS('1 stopień 20_21'!$I$9:$I$773,'1 stopień 20_21'!$G$9:$G$773,D49,'1 stopień 20_21'!$K$9:$K$773,"CKZ Słupsk")</f>
        <v>0</v>
      </c>
      <c r="AB49" s="104">
        <f>SUMIFS('1 stopień 20_21'!$I$9:$I$773,'1 stopień 20_21'!$G$9:$G$773,D49,'1 stopień 20_21'!$K$9:$K$773,"Toyota")</f>
        <v>0</v>
      </c>
      <c r="AC49" s="104">
        <f>SUMIFS('1 stopień 20_21'!$I$9:$I$773,'1 stopień 20_21'!$G$9:$G$773,D49,'1 stopień 20_21'!$K$9:$K$773,"CKZ Wrocław")</f>
        <v>0</v>
      </c>
      <c r="AD49" s="104">
        <f>SUMIFS('1 stopień 20_21'!$I$9:$I$773,'1 stopień 20_21'!$G$9:$G$773,D49,'1 stopień 20_21'!$K$9:$K$773,"CKZ Opole")</f>
        <v>0</v>
      </c>
      <c r="AE49" s="104">
        <f>SUMIFS('1 stopień 20_21'!$I$9:$I$773,'1 stopień 20_21'!$G$9:$G$773,D49,'1 stopień 20_21'!$K$9:$K$773,"Chojnów")</f>
        <v>0</v>
      </c>
      <c r="AF49" s="104">
        <f>SUMIFS('1 stopień 20_21'!$I$9:$I$773,'1 stopień 20_21'!$G$9:$G$773,D49,'1 stopień 20_21'!$K$9:$K$773,"")</f>
        <v>0</v>
      </c>
      <c r="AG49" s="105">
        <f t="shared" si="1"/>
        <v>0</v>
      </c>
    </row>
    <row r="50" spans="2:33">
      <c r="B50" s="106" t="s">
        <v>622</v>
      </c>
      <c r="C50" s="107">
        <v>834105</v>
      </c>
      <c r="D50" s="107" t="s">
        <v>751</v>
      </c>
      <c r="E50" s="106" t="s">
        <v>750</v>
      </c>
      <c r="F50" s="103">
        <f>SUMIF('1 stopień 20_21'!G$9:G$773,D50,'1 stopień 20_21'!I$9:I$773)</f>
        <v>0</v>
      </c>
      <c r="G50" s="104">
        <f>SUMIFS('1 stopień 20_21'!$I$9:$I$773,'1 stopień 20_21'!$G$9:$G$773,D50,'1 stopień 20_21'!$K$9:$K$773,"CKZ Bielawa")</f>
        <v>0</v>
      </c>
      <c r="H50" s="104">
        <f>SUMIFS('1 stopień 20_21'!$I$9:$I$773,'1 stopień 20_21'!$G$9:$G$773,D50,'1 stopień 20_21'!$K$9:$K$773,"GCKZ Głogów")</f>
        <v>0</v>
      </c>
      <c r="I50" s="104">
        <f>SUMIFS('1 stopień 20_21'!$I$9:$I$773,'1 stopień 20_21'!$G$9:$G$773,D50,'1 stopień 20_21'!$K$9:$K$773,"CKZ Jawor")</f>
        <v>0</v>
      </c>
      <c r="J50" s="104">
        <f>SUMIFS('1 stopień 20_21'!$I$9:$I$773,'1 stopień 20_21'!$G$9:$G$773,D50,'1 stopień 20_21'!$K$9:$K$773,"JCKZ Jelenia Góra")</f>
        <v>0</v>
      </c>
      <c r="K50" s="104">
        <f>SUMIFS('1 stopień 20_21'!$I$9:$I$773,'1 stopień 20_21'!$G$9:$G$773,D50,'1 stopień 20_21'!$K$9:$K$773,"CKZ Kłodzko")</f>
        <v>0</v>
      </c>
      <c r="L50" s="104">
        <f>SUMIFS('1 stopień 20_21'!$I$9:$I$773,'1 stopień 20_21'!$G$9:$G$773,D50,'1 stopień 20_21'!$K$9:$K$773,"CKZ Legnica")</f>
        <v>0</v>
      </c>
      <c r="M50" s="104">
        <f>SUMIFS('1 stopień 20_21'!$I$9:$I$773,'1 stopień 20_21'!$G$9:$G$773,D50,'1 stopień 20_21'!$K$9:$K$773,"CKZ Oleśnica")</f>
        <v>0</v>
      </c>
      <c r="N50" s="104">
        <f>SUMIFS('1 stopień 20_21'!$I$9:$I$773,'1 stopień 20_21'!$G$9:$G$773,D50,'1 stopień 20_21'!$K$9:$K$773,"CKZ Świdnica")</f>
        <v>0</v>
      </c>
      <c r="O50" s="104">
        <f>SUMIFS('1 stopień 20_21'!$I$9:$I$773,'1 stopień 20_21'!$G$9:$G$773,D50,'1 stopień 20_21'!$K$9:$K$773,"CKZ Wołów")</f>
        <v>0</v>
      </c>
      <c r="P50" s="104">
        <f>SUMIFS('1 stopień 20_21'!$I$9:$I$773,'1 stopień 20_21'!$G$9:$G$773,D50,'1 stopień 20_21'!$K$9:$K$773,"CKZ Ziębice")</f>
        <v>0</v>
      </c>
      <c r="Q50" s="104">
        <f>SUMIFS('1 stopień 20_21'!$I$9:$I$773,'1 stopień 20_21'!$G$9:$G$773,D50,'1 stopień 20_21'!$K$9:$K$773,"CKZ Dobrodzień")</f>
        <v>0</v>
      </c>
      <c r="R50" s="104">
        <f>SUMIFS('1 stopień 20_21'!$I$9:$I$773,'1 stopień 20_21'!$G$9:$G$773,D50,'1 stopień 20_21'!$K$9:$K$773,"CKZ Głubczyce")</f>
        <v>0</v>
      </c>
      <c r="S50" s="104">
        <f>SUMIFS('1 stopień 20_21'!$I$9:$I$773,'1 stopień 20_21'!$G$9:$G$773,D50,'1 stopień 20_21'!$K$9:$K$773,"CKZ Kędzierzyn Kożle")</f>
        <v>0</v>
      </c>
      <c r="T50" s="104">
        <f>SUMIFS('1 stopień 20_21'!$I$9:$I$773,'1 stopień 20_21'!$G$9:$G$773,D50,'1 stopień 20_21'!$K$9:$K$773,"CKZ Kluczbork")</f>
        <v>0</v>
      </c>
      <c r="U50" s="104">
        <f>SUMIFS('1 stopień 20_21'!$I$9:$I$773,'1 stopień 20_21'!$G$9:$G$773,D50,'1 stopień 20_21'!$K$9:$K$773,"CKZ Krotoszyn")</f>
        <v>0</v>
      </c>
      <c r="V50" s="104">
        <f>SUMIFS('1 stopień 20_21'!$I$9:$I$773,'1 stopień 20_21'!$G$9:$G$773,D50,'1 stopień 20_21'!$K$9:$K$773,"CKZ Olkusz")</f>
        <v>0</v>
      </c>
      <c r="W50" s="104">
        <f>SUMIFS('1 stopień 20_21'!$I$9:$I$773,'1 stopień 20_21'!$G$9:$G$773,D50,'1 stopień 20_21'!$K$9:$K$773,"CKZ Wschowa")</f>
        <v>0</v>
      </c>
      <c r="X50" s="104">
        <f>SUMIFS('1 stopień 20_21'!$I$9:$I$773,'1 stopień 20_21'!$G$9:$G$773,D50,'1 stopień 20_21'!$K$9:$K$773,"CKZ Zielona Góra")</f>
        <v>0</v>
      </c>
      <c r="Y50" s="104">
        <f>SUMIFS('1 stopień 20_21'!$I$9:$I$773,'1 stopień 20_21'!$G$9:$G$773,D50,'1 stopień 20_21'!$K$9:$K$773,"Rzemieślnicza Wałbrzych")</f>
        <v>0</v>
      </c>
      <c r="Z50" s="104">
        <f>SUMIFS('1 stopień 20_21'!$I$9:$I$773,'1 stopień 20_21'!$G$9:$G$773,D50,'1 stopień 20_21'!$K$9:$K$773,"CKZ Mosina")</f>
        <v>0</v>
      </c>
      <c r="AA50" s="104">
        <f>SUMIFS('1 stopień 20_21'!$I$9:$I$773,'1 stopień 20_21'!$G$9:$G$773,D50,'1 stopień 20_21'!$K$9:$K$773,"CKZ Słupsk")</f>
        <v>0</v>
      </c>
      <c r="AB50" s="104">
        <f>SUMIFS('1 stopień 20_21'!$I$9:$I$773,'1 stopień 20_21'!$G$9:$G$773,D50,'1 stopień 20_21'!$K$9:$K$773,"Toyota")</f>
        <v>0</v>
      </c>
      <c r="AC50" s="104">
        <f>SUMIFS('1 stopień 20_21'!$I$9:$I$773,'1 stopień 20_21'!$G$9:$G$773,D50,'1 stopień 20_21'!$K$9:$K$773,"CKZ Wrocław")</f>
        <v>0</v>
      </c>
      <c r="AD50" s="104">
        <f>SUMIFS('1 stopień 20_21'!$I$9:$I$773,'1 stopień 20_21'!$G$9:$G$773,D50,'1 stopień 20_21'!$K$9:$K$773,"CKZ Opole")</f>
        <v>0</v>
      </c>
      <c r="AE50" s="104">
        <f>SUMIFS('1 stopień 20_21'!$I$9:$I$773,'1 stopień 20_21'!$G$9:$G$773,D50,'1 stopień 20_21'!$K$9:$K$773,"Chojnów")</f>
        <v>0</v>
      </c>
      <c r="AF50" s="104">
        <f>SUMIFS('1 stopień 20_21'!$I$9:$I$773,'1 stopień 20_21'!$G$9:$G$773,D50,'1 stopień 20_21'!$K$9:$K$773,"")</f>
        <v>0</v>
      </c>
      <c r="AG50" s="105">
        <f t="shared" si="1"/>
        <v>0</v>
      </c>
    </row>
    <row r="51" spans="2:33">
      <c r="B51" s="106" t="s">
        <v>248</v>
      </c>
      <c r="C51" s="107">
        <v>721301</v>
      </c>
      <c r="D51" s="107" t="s">
        <v>857</v>
      </c>
      <c r="E51" s="106" t="s">
        <v>752</v>
      </c>
      <c r="F51" s="103">
        <f>SUMIF('1 stopień 20_21'!G$9:G$773,D51,'1 stopień 20_21'!I$9:I$773)</f>
        <v>6</v>
      </c>
      <c r="G51" s="104">
        <f>SUMIFS('1 stopień 20_21'!$I$9:$I$773,'1 stopień 20_21'!$G$9:$G$773,D51,'1 stopień 20_21'!$K$9:$K$773,"CKZ Bielawa")</f>
        <v>0</v>
      </c>
      <c r="H51" s="104">
        <f>SUMIFS('1 stopień 20_21'!$I$9:$I$773,'1 stopień 20_21'!$G$9:$G$773,D51,'1 stopień 20_21'!$K$9:$K$773,"GCKZ Głogów")</f>
        <v>0</v>
      </c>
      <c r="I51" s="104">
        <f>SUMIFS('1 stopień 20_21'!$I$9:$I$773,'1 stopień 20_21'!$G$9:$G$773,D51,'1 stopień 20_21'!$K$9:$K$773,"CKZ Jawor")</f>
        <v>0</v>
      </c>
      <c r="J51" s="104">
        <f>SUMIFS('1 stopień 20_21'!$I$9:$I$773,'1 stopień 20_21'!$G$9:$G$773,D51,'1 stopień 20_21'!$K$9:$K$773,"JCKZ Jelenia Góra")</f>
        <v>0</v>
      </c>
      <c r="K51" s="104">
        <f>SUMIFS('1 stopień 20_21'!$I$9:$I$773,'1 stopień 20_21'!$G$9:$G$773,D51,'1 stopień 20_21'!$K$9:$K$773,"CKZ Kłodzko")</f>
        <v>0</v>
      </c>
      <c r="L51" s="104">
        <f>SUMIFS('1 stopień 20_21'!$I$9:$I$773,'1 stopień 20_21'!$G$9:$G$773,D51,'1 stopień 20_21'!$K$9:$K$773,"CKZ Legnica")</f>
        <v>0</v>
      </c>
      <c r="M51" s="104">
        <f>SUMIFS('1 stopień 20_21'!$I$9:$I$773,'1 stopień 20_21'!$G$9:$G$773,D51,'1 stopień 20_21'!$K$9:$K$773,"CKZ Oleśnica")</f>
        <v>0</v>
      </c>
      <c r="N51" s="104">
        <f>SUMIFS('1 stopień 20_21'!$I$9:$I$773,'1 stopień 20_21'!$G$9:$G$773,D51,'1 stopień 20_21'!$K$9:$K$773,"CKZ Świdnica")</f>
        <v>6</v>
      </c>
      <c r="O51" s="104">
        <f>SUMIFS('1 stopień 20_21'!$I$9:$I$773,'1 stopień 20_21'!$G$9:$G$773,D51,'1 stopień 20_21'!$K$9:$K$773,"CKZ Wołów")</f>
        <v>0</v>
      </c>
      <c r="P51" s="104">
        <f>SUMIFS('1 stopień 20_21'!$I$9:$I$773,'1 stopień 20_21'!$G$9:$G$773,D51,'1 stopień 20_21'!$K$9:$K$773,"CKZ Ziębice")</f>
        <v>0</v>
      </c>
      <c r="Q51" s="104">
        <f>SUMIFS('1 stopień 20_21'!$I$9:$I$773,'1 stopień 20_21'!$G$9:$G$773,D51,'1 stopień 20_21'!$K$9:$K$773,"CKZ Dobrodzień")</f>
        <v>0</v>
      </c>
      <c r="R51" s="104">
        <f>SUMIFS('1 stopień 20_21'!$I$9:$I$773,'1 stopień 20_21'!$G$9:$G$773,D51,'1 stopień 20_21'!$K$9:$K$773,"CKZ Głubczyce")</f>
        <v>0</v>
      </c>
      <c r="S51" s="104">
        <f>SUMIFS('1 stopień 20_21'!$I$9:$I$773,'1 stopień 20_21'!$G$9:$G$773,D51,'1 stopień 20_21'!$K$9:$K$773,"CKZ Kędzierzyn Kożle")</f>
        <v>0</v>
      </c>
      <c r="T51" s="104">
        <f>SUMIFS('1 stopień 20_21'!$I$9:$I$773,'1 stopień 20_21'!$G$9:$G$773,D51,'1 stopień 20_21'!$K$9:$K$773,"CKZ Kluczbork")</f>
        <v>0</v>
      </c>
      <c r="U51" s="104">
        <f>SUMIFS('1 stopień 20_21'!$I$9:$I$773,'1 stopień 20_21'!$G$9:$G$773,D51,'1 stopień 20_21'!$K$9:$K$773,"CKZ Krotoszyn")</f>
        <v>0</v>
      </c>
      <c r="V51" s="104">
        <f>SUMIFS('1 stopień 20_21'!$I$9:$I$773,'1 stopień 20_21'!$G$9:$G$773,D51,'1 stopień 20_21'!$K$9:$K$773,"CKZ Olkusz")</f>
        <v>0</v>
      </c>
      <c r="W51" s="104">
        <f>SUMIFS('1 stopień 20_21'!$I$9:$I$773,'1 stopień 20_21'!$G$9:$G$773,D51,'1 stopień 20_21'!$K$9:$K$773,"CKZ Wschowa")</f>
        <v>0</v>
      </c>
      <c r="X51" s="104">
        <f>SUMIFS('1 stopień 20_21'!$I$9:$I$773,'1 stopień 20_21'!$G$9:$G$773,D51,'1 stopień 20_21'!$K$9:$K$773,"CKZ Zielona Góra")</f>
        <v>0</v>
      </c>
      <c r="Y51" s="104">
        <f>SUMIFS('1 stopień 20_21'!$I$9:$I$773,'1 stopień 20_21'!$G$9:$G$773,D51,'1 stopień 20_21'!$K$9:$K$773,"Rzemieślnicza Wałbrzych")</f>
        <v>0</v>
      </c>
      <c r="Z51" s="104">
        <f>SUMIFS('1 stopień 20_21'!$I$9:$I$773,'1 stopień 20_21'!$G$9:$G$773,D51,'1 stopień 20_21'!$K$9:$K$773,"CKZ Mosina")</f>
        <v>0</v>
      </c>
      <c r="AA51" s="104">
        <f>SUMIFS('1 stopień 20_21'!$I$9:$I$773,'1 stopień 20_21'!$G$9:$G$773,D51,'1 stopień 20_21'!$K$9:$K$773,"CKZ Słupsk")</f>
        <v>0</v>
      </c>
      <c r="AB51" s="104">
        <f>SUMIFS('1 stopień 20_21'!$I$9:$I$773,'1 stopień 20_21'!$G$9:$G$773,D51,'1 stopień 20_21'!$K$9:$K$773,"Toyota")</f>
        <v>0</v>
      </c>
      <c r="AC51" s="104">
        <f>SUMIFS('1 stopień 20_21'!$I$9:$I$773,'1 stopień 20_21'!$G$9:$G$773,D51,'1 stopień 20_21'!$K$9:$K$773,"CKZ Wrocław")</f>
        <v>0</v>
      </c>
      <c r="AD51" s="104">
        <f>SUMIFS('1 stopień 20_21'!$I$9:$I$773,'1 stopień 20_21'!$G$9:$G$773,D51,'1 stopień 20_21'!$K$9:$K$773,"CKZ Opole")</f>
        <v>0</v>
      </c>
      <c r="AE51" s="104">
        <f>SUMIFS('1 stopień 20_21'!$I$9:$I$773,'1 stopień 20_21'!$G$9:$G$773,D51,'1 stopień 20_21'!$K$9:$K$773,"Chojnów")</f>
        <v>0</v>
      </c>
      <c r="AF51" s="104">
        <f>SUMIFS('1 stopień 20_21'!$I$9:$I$773,'1 stopień 20_21'!$G$9:$G$773,D51,'1 stopień 20_21'!$K$9:$K$773,"")</f>
        <v>0</v>
      </c>
      <c r="AG51" s="105">
        <f t="shared" si="1"/>
        <v>6</v>
      </c>
    </row>
    <row r="52" spans="2:33">
      <c r="B52" s="106" t="s">
        <v>623</v>
      </c>
      <c r="C52" s="107">
        <v>722101</v>
      </c>
      <c r="D52" s="107" t="s">
        <v>1380</v>
      </c>
      <c r="E52" s="106" t="s">
        <v>754</v>
      </c>
      <c r="F52" s="103">
        <f>SUMIF('1 stopień 20_21'!G$9:G$773,D52,'1 stopień 20_21'!I$9:I$773)</f>
        <v>0</v>
      </c>
      <c r="G52" s="104">
        <f>SUMIFS('1 stopień 20_21'!$I$9:$I$773,'1 stopień 20_21'!$G$9:$G$773,D52,'1 stopień 20_21'!$K$9:$K$773,"CKZ Bielawa")</f>
        <v>0</v>
      </c>
      <c r="H52" s="104">
        <f>SUMIFS('1 stopień 20_21'!$I$9:$I$773,'1 stopień 20_21'!$G$9:$G$773,D52,'1 stopień 20_21'!$K$9:$K$773,"GCKZ Głogów")</f>
        <v>0</v>
      </c>
      <c r="I52" s="104">
        <f>SUMIFS('1 stopień 20_21'!$I$9:$I$773,'1 stopień 20_21'!$G$9:$G$773,D52,'1 stopień 20_21'!$K$9:$K$773,"CKZ Jawor")</f>
        <v>0</v>
      </c>
      <c r="J52" s="104">
        <f>SUMIFS('1 stopień 20_21'!$I$9:$I$773,'1 stopień 20_21'!$G$9:$G$773,D52,'1 stopień 20_21'!$K$9:$K$773,"JCKZ Jelenia Góra")</f>
        <v>0</v>
      </c>
      <c r="K52" s="104">
        <f>SUMIFS('1 stopień 20_21'!$I$9:$I$773,'1 stopień 20_21'!$G$9:$G$773,D52,'1 stopień 20_21'!$K$9:$K$773,"CKZ Kłodzko")</f>
        <v>0</v>
      </c>
      <c r="L52" s="104">
        <f>SUMIFS('1 stopień 20_21'!$I$9:$I$773,'1 stopień 20_21'!$G$9:$G$773,D52,'1 stopień 20_21'!$K$9:$K$773,"CKZ Legnica")</f>
        <v>0</v>
      </c>
      <c r="M52" s="104">
        <f>SUMIFS('1 stopień 20_21'!$I$9:$I$773,'1 stopień 20_21'!$G$9:$G$773,D52,'1 stopień 20_21'!$K$9:$K$773,"CKZ Oleśnica")</f>
        <v>0</v>
      </c>
      <c r="N52" s="104">
        <f>SUMIFS('1 stopień 20_21'!$I$9:$I$773,'1 stopień 20_21'!$G$9:$G$773,D52,'1 stopień 20_21'!$K$9:$K$773,"CKZ Świdnica")</f>
        <v>0</v>
      </c>
      <c r="O52" s="104">
        <f>SUMIFS('1 stopień 20_21'!$I$9:$I$773,'1 stopień 20_21'!$G$9:$G$773,D52,'1 stopień 20_21'!$K$9:$K$773,"CKZ Wołów")</f>
        <v>0</v>
      </c>
      <c r="P52" s="104">
        <f>SUMIFS('1 stopień 20_21'!$I$9:$I$773,'1 stopień 20_21'!$G$9:$G$773,D52,'1 stopień 20_21'!$K$9:$K$773,"CKZ Ziębice")</f>
        <v>0</v>
      </c>
      <c r="Q52" s="104">
        <f>SUMIFS('1 stopień 20_21'!$I$9:$I$773,'1 stopień 20_21'!$G$9:$G$773,D52,'1 stopień 20_21'!$K$9:$K$773,"CKZ Dobrodzień")</f>
        <v>0</v>
      </c>
      <c r="R52" s="104">
        <f>SUMIFS('1 stopień 20_21'!$I$9:$I$773,'1 stopień 20_21'!$G$9:$G$773,D52,'1 stopień 20_21'!$K$9:$K$773,"CKZ Głubczyce")</f>
        <v>0</v>
      </c>
      <c r="S52" s="104">
        <f>SUMIFS('1 stopień 20_21'!$I$9:$I$773,'1 stopień 20_21'!$G$9:$G$773,D52,'1 stopień 20_21'!$K$9:$K$773,"CKZ Kędzierzyn Kożle")</f>
        <v>0</v>
      </c>
      <c r="T52" s="104">
        <f>SUMIFS('1 stopień 20_21'!$I$9:$I$773,'1 stopień 20_21'!$G$9:$G$773,D52,'1 stopień 20_21'!$K$9:$K$773,"CKZ Kluczbork")</f>
        <v>0</v>
      </c>
      <c r="U52" s="104">
        <f>SUMIFS('1 stopień 20_21'!$I$9:$I$773,'1 stopień 20_21'!$G$9:$G$773,D52,'1 stopień 20_21'!$K$9:$K$773,"CKZ Krotoszyn")</f>
        <v>0</v>
      </c>
      <c r="V52" s="104">
        <f>SUMIFS('1 stopień 20_21'!$I$9:$I$773,'1 stopień 20_21'!$G$9:$G$773,D52,'1 stopień 20_21'!$K$9:$K$773,"CKZ Olkusz")</f>
        <v>0</v>
      </c>
      <c r="W52" s="104">
        <f>SUMIFS('1 stopień 20_21'!$I$9:$I$773,'1 stopień 20_21'!$G$9:$G$773,D52,'1 stopień 20_21'!$K$9:$K$773,"CKZ Wschowa")</f>
        <v>0</v>
      </c>
      <c r="X52" s="104">
        <f>SUMIFS('1 stopień 20_21'!$I$9:$I$773,'1 stopień 20_21'!$G$9:$G$773,D52,'1 stopień 20_21'!$K$9:$K$773,"CKZ Zielona Góra")</f>
        <v>0</v>
      </c>
      <c r="Y52" s="104">
        <f>SUMIFS('1 stopień 20_21'!$I$9:$I$773,'1 stopień 20_21'!$G$9:$G$773,D52,'1 stopień 20_21'!$K$9:$K$773,"Rzemieślnicza Wałbrzych")</f>
        <v>0</v>
      </c>
      <c r="Z52" s="104">
        <f>SUMIFS('1 stopień 20_21'!$I$9:$I$773,'1 stopień 20_21'!$G$9:$G$773,D52,'1 stopień 20_21'!$K$9:$K$773,"CKZ Mosina")</f>
        <v>0</v>
      </c>
      <c r="AA52" s="104">
        <f>SUMIFS('1 stopień 20_21'!$I$9:$I$773,'1 stopień 20_21'!$G$9:$G$773,D52,'1 stopień 20_21'!$K$9:$K$773,"CKZ Słupsk")</f>
        <v>0</v>
      </c>
      <c r="AB52" s="104">
        <f>SUMIFS('1 stopień 20_21'!$I$9:$I$773,'1 stopień 20_21'!$G$9:$G$773,D52,'1 stopień 20_21'!$K$9:$K$773,"Toyota")</f>
        <v>0</v>
      </c>
      <c r="AC52" s="104">
        <f>SUMIFS('1 stopień 20_21'!$I$9:$I$773,'1 stopień 20_21'!$G$9:$G$773,D52,'1 stopień 20_21'!$K$9:$K$773,"CKZ Wrocław")</f>
        <v>0</v>
      </c>
      <c r="AD52" s="104">
        <f>SUMIFS('1 stopień 20_21'!$I$9:$I$773,'1 stopień 20_21'!$G$9:$G$773,D52,'1 stopień 20_21'!$K$9:$K$773,"CKZ Opole")</f>
        <v>0</v>
      </c>
      <c r="AE52" s="104">
        <f>SUMIFS('1 stopień 20_21'!$I$9:$I$773,'1 stopień 20_21'!$G$9:$G$773,D52,'1 stopień 20_21'!$K$9:$K$773,"Chojnów")</f>
        <v>0</v>
      </c>
      <c r="AF52" s="104">
        <f>SUMIFS('1 stopień 20_21'!$I$9:$I$773,'1 stopień 20_21'!$G$9:$G$773,D52,'1 stopień 20_21'!$K$9:$K$773,"")</f>
        <v>0</v>
      </c>
      <c r="AG52" s="105">
        <f t="shared" si="1"/>
        <v>0</v>
      </c>
    </row>
    <row r="53" spans="2:33" ht="15.75" customHeight="1">
      <c r="B53" s="106" t="s">
        <v>624</v>
      </c>
      <c r="C53" s="107">
        <v>723310</v>
      </c>
      <c r="D53" s="107" t="s">
        <v>282</v>
      </c>
      <c r="E53" s="106" t="s">
        <v>756</v>
      </c>
      <c r="F53" s="103">
        <f>SUMIF('1 stopień 20_21'!G$9:G$773,D53,'1 stopień 20_21'!I$9:I$773)</f>
        <v>1</v>
      </c>
      <c r="G53" s="104">
        <f>SUMIFS('1 stopień 20_21'!$I$9:$I$773,'1 stopień 20_21'!$G$9:$G$773,D53,'1 stopień 20_21'!$K$9:$K$773,"CKZ Bielawa")</f>
        <v>0</v>
      </c>
      <c r="H53" s="104">
        <f>SUMIFS('1 stopień 20_21'!$I$9:$I$773,'1 stopień 20_21'!$G$9:$G$773,D53,'1 stopień 20_21'!$K$9:$K$773,"GCKZ Głogów")</f>
        <v>0</v>
      </c>
      <c r="I53" s="104">
        <f>SUMIFS('1 stopień 20_21'!$I$9:$I$773,'1 stopień 20_21'!$G$9:$G$773,D53,'1 stopień 20_21'!$K$9:$K$773,"CKZ Jawor")</f>
        <v>0</v>
      </c>
      <c r="J53" s="104">
        <f>SUMIFS('1 stopień 20_21'!$I$9:$I$773,'1 stopień 20_21'!$G$9:$G$773,D53,'1 stopień 20_21'!$K$9:$K$773,"JCKZ Jelenia Góra")</f>
        <v>0</v>
      </c>
      <c r="K53" s="104">
        <f>SUMIFS('1 stopień 20_21'!$I$9:$I$773,'1 stopień 20_21'!$G$9:$G$773,D53,'1 stopień 20_21'!$K$9:$K$773,"CKZ Kłodzko")</f>
        <v>0</v>
      </c>
      <c r="L53" s="104">
        <f>SUMIFS('1 stopień 20_21'!$I$9:$I$773,'1 stopień 20_21'!$G$9:$G$773,D53,'1 stopień 20_21'!$K$9:$K$773,"CKZ Legnica")</f>
        <v>0</v>
      </c>
      <c r="M53" s="104">
        <f>SUMIFS('1 stopień 20_21'!$I$9:$I$773,'1 stopień 20_21'!$G$9:$G$773,D53,'1 stopień 20_21'!$K$9:$K$773,"CKZ Oleśnica")</f>
        <v>0</v>
      </c>
      <c r="N53" s="104">
        <f>SUMIFS('1 stopień 20_21'!$I$9:$I$773,'1 stopień 20_21'!$G$9:$G$773,D53,'1 stopień 20_21'!$K$9:$K$773,"CKZ Świdnica")</f>
        <v>0</v>
      </c>
      <c r="O53" s="104">
        <f>SUMIFS('1 stopień 20_21'!$I$9:$I$773,'1 stopień 20_21'!$G$9:$G$773,D53,'1 stopień 20_21'!$K$9:$K$773,"CKZ Wołów")</f>
        <v>0</v>
      </c>
      <c r="P53" s="104">
        <f>SUMIFS('1 stopień 20_21'!$I$9:$I$773,'1 stopień 20_21'!$G$9:$G$773,D53,'1 stopień 20_21'!$K$9:$K$773,"CKZ Ziębice")</f>
        <v>0</v>
      </c>
      <c r="Q53" s="104">
        <f>SUMIFS('1 stopień 20_21'!$I$9:$I$773,'1 stopień 20_21'!$G$9:$G$773,D53,'1 stopień 20_21'!$K$9:$K$773,"CKZ Dobrodzień")</f>
        <v>0</v>
      </c>
      <c r="R53" s="104">
        <f>SUMIFS('1 stopień 20_21'!$I$9:$I$773,'1 stopień 20_21'!$G$9:$G$773,D53,'1 stopień 20_21'!$K$9:$K$773,"CKZ Głubczyce")</f>
        <v>0</v>
      </c>
      <c r="S53" s="104">
        <f>SUMIFS('1 stopień 20_21'!$I$9:$I$773,'1 stopień 20_21'!$G$9:$G$773,D53,'1 stopień 20_21'!$K$9:$K$773,"CKZ Kędzierzyn Kożle")</f>
        <v>0</v>
      </c>
      <c r="T53" s="104">
        <f>SUMIFS('1 stopień 20_21'!$I$9:$I$773,'1 stopień 20_21'!$G$9:$G$773,D53,'1 stopień 20_21'!$K$9:$K$773,"CKZ Kluczbork")</f>
        <v>0</v>
      </c>
      <c r="U53" s="104">
        <f>SUMIFS('1 stopień 20_21'!$I$9:$I$773,'1 stopień 20_21'!$G$9:$G$773,D53,'1 stopień 20_21'!$K$9:$K$773,"CKZ Krotoszyn")</f>
        <v>0</v>
      </c>
      <c r="V53" s="104">
        <f>SUMIFS('1 stopień 20_21'!$I$9:$I$773,'1 stopień 20_21'!$G$9:$G$773,D53,'1 stopień 20_21'!$K$9:$K$773,"CKZ Olkusz")</f>
        <v>0</v>
      </c>
      <c r="W53" s="104">
        <f>SUMIFS('1 stopień 20_21'!$I$9:$I$773,'1 stopień 20_21'!$G$9:$G$773,D53,'1 stopień 20_21'!$K$9:$K$773,"CKZ Wschowa")</f>
        <v>0</v>
      </c>
      <c r="X53" s="104">
        <f>SUMIFS('1 stopień 20_21'!$I$9:$I$773,'1 stopień 20_21'!$G$9:$G$773,D53,'1 stopień 20_21'!$K$9:$K$773,"CKZ Zielona Góra")</f>
        <v>1</v>
      </c>
      <c r="Y53" s="104">
        <f>SUMIFS('1 stopień 20_21'!$I$9:$I$773,'1 stopień 20_21'!$G$9:$G$773,D53,'1 stopień 20_21'!$K$9:$K$773,"Rzemieślnicza Wałbrzych")</f>
        <v>0</v>
      </c>
      <c r="Z53" s="104">
        <f>SUMIFS('1 stopień 20_21'!$I$9:$I$773,'1 stopień 20_21'!$G$9:$G$773,D53,'1 stopień 20_21'!$K$9:$K$773,"CKZ Mosina")</f>
        <v>0</v>
      </c>
      <c r="AA53" s="104">
        <f>SUMIFS('1 stopień 20_21'!$I$9:$I$773,'1 stopień 20_21'!$G$9:$G$773,D53,'1 stopień 20_21'!$K$9:$K$773,"CKZ Słupsk")</f>
        <v>0</v>
      </c>
      <c r="AB53" s="104">
        <f>SUMIFS('1 stopień 20_21'!$I$9:$I$773,'1 stopień 20_21'!$G$9:$G$773,D53,'1 stopień 20_21'!$K$9:$K$773,"Toyota")</f>
        <v>0</v>
      </c>
      <c r="AC53" s="104">
        <f>SUMIFS('1 stopień 20_21'!$I$9:$I$773,'1 stopień 20_21'!$G$9:$G$773,D53,'1 stopień 20_21'!$K$9:$K$773,"CKZ Wrocław")</f>
        <v>0</v>
      </c>
      <c r="AD53" s="104">
        <f>SUMIFS('1 stopień 20_21'!$I$9:$I$773,'1 stopień 20_21'!$G$9:$G$773,D53,'1 stopień 20_21'!$K$9:$K$773,"CKZ Opole")</f>
        <v>0</v>
      </c>
      <c r="AE53" s="104">
        <f>SUMIFS('1 stopień 20_21'!$I$9:$I$773,'1 stopień 20_21'!$G$9:$G$773,D53,'1 stopień 20_21'!$K$9:$K$773,"Chojnów")</f>
        <v>0</v>
      </c>
      <c r="AF53" s="104">
        <f>SUMIFS('1 stopień 20_21'!$I$9:$I$773,'1 stopień 20_21'!$G$9:$G$773,D53,'1 stopień 20_21'!$K$9:$K$773,"")</f>
        <v>0</v>
      </c>
      <c r="AG53" s="105">
        <f t="shared" si="1"/>
        <v>1</v>
      </c>
    </row>
    <row r="54" spans="2:33">
      <c r="B54" s="106" t="s">
        <v>625</v>
      </c>
      <c r="C54" s="107">
        <v>712613</v>
      </c>
      <c r="D54" s="107" t="s">
        <v>1381</v>
      </c>
      <c r="E54" s="106" t="s">
        <v>758</v>
      </c>
      <c r="F54" s="103">
        <f>SUMIF('1 stopień 20_21'!G$9:G$773,D54,'1 stopień 20_21'!I$9:I$773)</f>
        <v>0</v>
      </c>
      <c r="G54" s="104">
        <f>SUMIFS('1 stopień 20_21'!$I$9:$I$773,'1 stopień 20_21'!$G$9:$G$773,D54,'1 stopień 20_21'!$K$9:$K$773,"CKZ Bielawa")</f>
        <v>0</v>
      </c>
      <c r="H54" s="104">
        <f>SUMIFS('1 stopień 20_21'!$I$9:$I$773,'1 stopień 20_21'!$G$9:$G$773,D54,'1 stopień 20_21'!$K$9:$K$773,"GCKZ Głogów")</f>
        <v>0</v>
      </c>
      <c r="I54" s="104">
        <f>SUMIFS('1 stopień 20_21'!$I$9:$I$773,'1 stopień 20_21'!$G$9:$G$773,D54,'1 stopień 20_21'!$K$9:$K$773,"CKZ Jawor")</f>
        <v>0</v>
      </c>
      <c r="J54" s="104">
        <f>SUMIFS('1 stopień 20_21'!$I$9:$I$773,'1 stopień 20_21'!$G$9:$G$773,D54,'1 stopień 20_21'!$K$9:$K$773,"JCKZ Jelenia Góra")</f>
        <v>0</v>
      </c>
      <c r="K54" s="104">
        <f>SUMIFS('1 stopień 20_21'!$I$9:$I$773,'1 stopień 20_21'!$G$9:$G$773,D54,'1 stopień 20_21'!$K$9:$K$773,"CKZ Kłodzko")</f>
        <v>0</v>
      </c>
      <c r="L54" s="104">
        <f>SUMIFS('1 stopień 20_21'!$I$9:$I$773,'1 stopień 20_21'!$G$9:$G$773,D54,'1 stopień 20_21'!$K$9:$K$773,"CKZ Legnica")</f>
        <v>0</v>
      </c>
      <c r="M54" s="104">
        <f>SUMIFS('1 stopień 20_21'!$I$9:$I$773,'1 stopień 20_21'!$G$9:$G$773,D54,'1 stopień 20_21'!$K$9:$K$773,"CKZ Oleśnica")</f>
        <v>0</v>
      </c>
      <c r="N54" s="104">
        <f>SUMIFS('1 stopień 20_21'!$I$9:$I$773,'1 stopień 20_21'!$G$9:$G$773,D54,'1 stopień 20_21'!$K$9:$K$773,"CKZ Świdnica")</f>
        <v>0</v>
      </c>
      <c r="O54" s="104">
        <f>SUMIFS('1 stopień 20_21'!$I$9:$I$773,'1 stopień 20_21'!$G$9:$G$773,D54,'1 stopień 20_21'!$K$9:$K$773,"CKZ Wołów")</f>
        <v>0</v>
      </c>
      <c r="P54" s="104">
        <f>SUMIFS('1 stopień 20_21'!$I$9:$I$773,'1 stopień 20_21'!$G$9:$G$773,D54,'1 stopień 20_21'!$K$9:$K$773,"CKZ Ziębice")</f>
        <v>0</v>
      </c>
      <c r="Q54" s="104">
        <f>SUMIFS('1 stopień 20_21'!$I$9:$I$773,'1 stopień 20_21'!$G$9:$G$773,D54,'1 stopień 20_21'!$K$9:$K$773,"CKZ Dobrodzień")</f>
        <v>0</v>
      </c>
      <c r="R54" s="104">
        <f>SUMIFS('1 stopień 20_21'!$I$9:$I$773,'1 stopień 20_21'!$G$9:$G$773,D54,'1 stopień 20_21'!$K$9:$K$773,"CKZ Głubczyce")</f>
        <v>0</v>
      </c>
      <c r="S54" s="104">
        <f>SUMIFS('1 stopień 20_21'!$I$9:$I$773,'1 stopień 20_21'!$G$9:$G$773,D54,'1 stopień 20_21'!$K$9:$K$773,"CKZ Kędzierzyn Kożle")</f>
        <v>0</v>
      </c>
      <c r="T54" s="104">
        <f>SUMIFS('1 stopień 20_21'!$I$9:$I$773,'1 stopień 20_21'!$G$9:$G$773,D54,'1 stopień 20_21'!$K$9:$K$773,"CKZ Kluczbork")</f>
        <v>0</v>
      </c>
      <c r="U54" s="104">
        <f>SUMIFS('1 stopień 20_21'!$I$9:$I$773,'1 stopień 20_21'!$G$9:$G$773,D54,'1 stopień 20_21'!$K$9:$K$773,"CKZ Krotoszyn")</f>
        <v>0</v>
      </c>
      <c r="V54" s="104">
        <f>SUMIFS('1 stopień 20_21'!$I$9:$I$773,'1 stopień 20_21'!$G$9:$G$773,D54,'1 stopień 20_21'!$K$9:$K$773,"CKZ Olkusz")</f>
        <v>0</v>
      </c>
      <c r="W54" s="104">
        <f>SUMIFS('1 stopień 20_21'!$I$9:$I$773,'1 stopień 20_21'!$G$9:$G$773,D54,'1 stopień 20_21'!$K$9:$K$773,"CKZ Wschowa")</f>
        <v>0</v>
      </c>
      <c r="X54" s="104">
        <f>SUMIFS('1 stopień 20_21'!$I$9:$I$773,'1 stopień 20_21'!$G$9:$G$773,D54,'1 stopień 20_21'!$K$9:$K$773,"CKZ Zielona Góra")</f>
        <v>0</v>
      </c>
      <c r="Y54" s="104">
        <f>SUMIFS('1 stopień 20_21'!$I$9:$I$773,'1 stopień 20_21'!$G$9:$G$773,D54,'1 stopień 20_21'!$K$9:$K$773,"Rzemieślnicza Wałbrzych")</f>
        <v>0</v>
      </c>
      <c r="Z54" s="104">
        <f>SUMIFS('1 stopień 20_21'!$I$9:$I$773,'1 stopień 20_21'!$G$9:$G$773,D54,'1 stopień 20_21'!$K$9:$K$773,"CKZ Mosina")</f>
        <v>0</v>
      </c>
      <c r="AA54" s="104">
        <f>SUMIFS('1 stopień 20_21'!$I$9:$I$773,'1 stopień 20_21'!$G$9:$G$773,D54,'1 stopień 20_21'!$K$9:$K$773,"CKZ Słupsk")</f>
        <v>0</v>
      </c>
      <c r="AB54" s="104">
        <f>SUMIFS('1 stopień 20_21'!$I$9:$I$773,'1 stopień 20_21'!$G$9:$G$773,D54,'1 stopień 20_21'!$K$9:$K$773,"Toyota")</f>
        <v>0</v>
      </c>
      <c r="AC54" s="104">
        <f>SUMIFS('1 stopień 20_21'!$I$9:$I$773,'1 stopień 20_21'!$G$9:$G$773,D54,'1 stopień 20_21'!$K$9:$K$773,"CKZ Wrocław")</f>
        <v>0</v>
      </c>
      <c r="AD54" s="104">
        <f>SUMIFS('1 stopień 20_21'!$I$9:$I$773,'1 stopień 20_21'!$G$9:$G$773,D54,'1 stopień 20_21'!$K$9:$K$773,"CKZ Opole")</f>
        <v>0</v>
      </c>
      <c r="AE54" s="104">
        <f>SUMIFS('1 stopień 20_21'!$I$9:$I$773,'1 stopień 20_21'!$G$9:$G$773,D54,'1 stopień 20_21'!$K$9:$K$773,"Chojnów")</f>
        <v>0</v>
      </c>
      <c r="AF54" s="104">
        <f>SUMIFS('1 stopień 20_21'!$I$9:$I$773,'1 stopień 20_21'!$G$9:$G$773,D54,'1 stopień 20_21'!$K$9:$K$773,"")</f>
        <v>0</v>
      </c>
      <c r="AG54" s="105">
        <f t="shared" si="1"/>
        <v>0</v>
      </c>
    </row>
    <row r="55" spans="2:33">
      <c r="B55" s="106" t="s">
        <v>82</v>
      </c>
      <c r="C55" s="107">
        <v>722307</v>
      </c>
      <c r="D55" s="107" t="s">
        <v>83</v>
      </c>
      <c r="E55" s="106" t="s">
        <v>760</v>
      </c>
      <c r="F55" s="103">
        <f>SUMIF('1 stopień 20_21'!G$9:G$773,D55,'1 stopień 20_21'!I$9:I$773)</f>
        <v>79</v>
      </c>
      <c r="G55" s="104">
        <f>SUMIFS('1 stopień 20_21'!$I$9:$I$773,'1 stopień 20_21'!$G$9:$G$773,D55,'1 stopień 20_21'!$K$9:$K$773,"CKZ Bielawa")</f>
        <v>0</v>
      </c>
      <c r="H55" s="104">
        <f>SUMIFS('1 stopień 20_21'!$I$9:$I$773,'1 stopień 20_21'!$G$9:$G$773,D55,'1 stopień 20_21'!$K$9:$K$773,"GCKZ Głogów")</f>
        <v>0</v>
      </c>
      <c r="I55" s="104">
        <f>SUMIFS('1 stopień 20_21'!$I$9:$I$773,'1 stopień 20_21'!$G$9:$G$773,D55,'1 stopień 20_21'!$K$9:$K$773,"CKZ Jawor")</f>
        <v>0</v>
      </c>
      <c r="J55" s="104">
        <f>SUMIFS('1 stopień 20_21'!$I$9:$I$773,'1 stopień 20_21'!$G$9:$G$773,D55,'1 stopień 20_21'!$K$9:$K$773,"JCKZ Jelenia Góra")</f>
        <v>0</v>
      </c>
      <c r="K55" s="104">
        <f>SUMIFS('1 stopień 20_21'!$I$9:$I$773,'1 stopień 20_21'!$G$9:$G$773,D55,'1 stopień 20_21'!$K$9:$K$773,"CKZ Kłodzko")</f>
        <v>0</v>
      </c>
      <c r="L55" s="104">
        <f>SUMIFS('1 stopień 20_21'!$I$9:$I$773,'1 stopień 20_21'!$G$9:$G$773,D55,'1 stopień 20_21'!$K$9:$K$773,"CKZ Legnica")</f>
        <v>0</v>
      </c>
      <c r="M55" s="104">
        <f>SUMIFS('1 stopień 20_21'!$I$9:$I$773,'1 stopień 20_21'!$G$9:$G$773,D55,'1 stopień 20_21'!$K$9:$K$773,"CKZ Oleśnica")</f>
        <v>0</v>
      </c>
      <c r="N55" s="104">
        <f>SUMIFS('1 stopień 20_21'!$I$9:$I$773,'1 stopień 20_21'!$G$9:$G$773,D55,'1 stopień 20_21'!$K$9:$K$773,"CKZ Świdnica")</f>
        <v>62</v>
      </c>
      <c r="O55" s="104">
        <f>SUMIFS('1 stopień 20_21'!$I$9:$I$773,'1 stopień 20_21'!$G$9:$G$773,D55,'1 stopień 20_21'!$K$9:$K$773,"CKZ Wołów")</f>
        <v>0</v>
      </c>
      <c r="P55" s="104">
        <f>SUMIFS('1 stopień 20_21'!$I$9:$I$773,'1 stopień 20_21'!$G$9:$G$773,D55,'1 stopień 20_21'!$K$9:$K$773,"CKZ Ziębice")</f>
        <v>0</v>
      </c>
      <c r="Q55" s="104">
        <f>SUMIFS('1 stopień 20_21'!$I$9:$I$773,'1 stopień 20_21'!$G$9:$G$773,D55,'1 stopień 20_21'!$K$9:$K$773,"CKZ Dobrodzień")</f>
        <v>0</v>
      </c>
      <c r="R55" s="104">
        <f>SUMIFS('1 stopień 20_21'!$I$9:$I$773,'1 stopień 20_21'!$G$9:$G$773,D55,'1 stopień 20_21'!$K$9:$K$773,"CKZ Głubczyce")</f>
        <v>0</v>
      </c>
      <c r="S55" s="104">
        <f>SUMIFS('1 stopień 20_21'!$I$9:$I$773,'1 stopień 20_21'!$G$9:$G$773,D55,'1 stopień 20_21'!$K$9:$K$773,"CKZ Kędzierzyn Kożle")</f>
        <v>0</v>
      </c>
      <c r="T55" s="104">
        <f>SUMIFS('1 stopień 20_21'!$I$9:$I$773,'1 stopień 20_21'!$G$9:$G$773,D55,'1 stopień 20_21'!$K$9:$K$773,"CKZ Kluczbork")</f>
        <v>0</v>
      </c>
      <c r="U55" s="104">
        <f>SUMIFS('1 stopień 20_21'!$I$9:$I$773,'1 stopień 20_21'!$G$9:$G$773,D55,'1 stopień 20_21'!$K$9:$K$773,"CKZ Krotoszyn")</f>
        <v>0</v>
      </c>
      <c r="V55" s="104">
        <f>SUMIFS('1 stopień 20_21'!$I$9:$I$773,'1 stopień 20_21'!$G$9:$G$773,D55,'1 stopień 20_21'!$K$9:$K$773,"CKZ Olkusz")</f>
        <v>0</v>
      </c>
      <c r="W55" s="104">
        <f>SUMIFS('1 stopień 20_21'!$I$9:$I$773,'1 stopień 20_21'!$G$9:$G$773,D55,'1 stopień 20_21'!$K$9:$K$773,"CKZ Wschowa")</f>
        <v>1</v>
      </c>
      <c r="X55" s="104">
        <f>SUMIFS('1 stopień 20_21'!$I$9:$I$773,'1 stopień 20_21'!$G$9:$G$773,D55,'1 stopień 20_21'!$K$9:$K$773,"CKZ Zielona Góra")</f>
        <v>4</v>
      </c>
      <c r="Y55" s="104">
        <f>SUMIFS('1 stopień 20_21'!$I$9:$I$773,'1 stopień 20_21'!$G$9:$G$773,D55,'1 stopień 20_21'!$K$9:$K$773,"Rzemieślnicza Wałbrzych")</f>
        <v>0</v>
      </c>
      <c r="Z55" s="104">
        <f>SUMIFS('1 stopień 20_21'!$I$9:$I$773,'1 stopień 20_21'!$G$9:$G$773,D55,'1 stopień 20_21'!$K$9:$K$773,"CKZ Mosina")</f>
        <v>0</v>
      </c>
      <c r="AA55" s="104">
        <f>SUMIFS('1 stopień 20_21'!$I$9:$I$773,'1 stopień 20_21'!$G$9:$G$773,D55,'1 stopień 20_21'!$K$9:$K$773,"CKZ Słupsk")</f>
        <v>0</v>
      </c>
      <c r="AB55" s="104">
        <f>SUMIFS('1 stopień 20_21'!$I$9:$I$773,'1 stopień 20_21'!$G$9:$G$773,D55,'1 stopień 20_21'!$K$9:$K$773,"Toyota")</f>
        <v>12</v>
      </c>
      <c r="AC55" s="104">
        <f>SUMIFS('1 stopień 20_21'!$I$9:$I$773,'1 stopień 20_21'!$G$9:$G$773,D55,'1 stopień 20_21'!$K$9:$K$773,"CKZ Wrocław")</f>
        <v>0</v>
      </c>
      <c r="AD55" s="104">
        <f>SUMIFS('1 stopień 20_21'!$I$9:$I$773,'1 stopień 20_21'!$G$9:$G$773,D55,'1 stopień 20_21'!$K$9:$K$773,"CKZ Opole")</f>
        <v>0</v>
      </c>
      <c r="AE55" s="104">
        <f>SUMIFS('1 stopień 20_21'!$I$9:$I$773,'1 stopień 20_21'!$G$9:$G$773,D55,'1 stopień 20_21'!$K$9:$K$773,"Chojnów")</f>
        <v>0</v>
      </c>
      <c r="AF55" s="104">
        <f>SUMIFS('1 stopień 20_21'!$I$9:$I$773,'1 stopień 20_21'!$G$9:$G$773,D55,'1 stopień 20_21'!$K$9:$K$773,"")</f>
        <v>0</v>
      </c>
      <c r="AG55" s="105">
        <f t="shared" si="1"/>
        <v>79</v>
      </c>
    </row>
    <row r="56" spans="2:33">
      <c r="B56" s="106" t="s">
        <v>626</v>
      </c>
      <c r="C56" s="107">
        <v>932916</v>
      </c>
      <c r="D56" s="107" t="s">
        <v>762</v>
      </c>
      <c r="E56" s="106" t="s">
        <v>761</v>
      </c>
      <c r="F56" s="103">
        <f>SUMIF('1 stopień 20_21'!G$9:G$773,D56,'1 stopień 20_21'!I$9:I$773)</f>
        <v>0</v>
      </c>
      <c r="G56" s="104">
        <f>SUMIFS('1 stopień 20_21'!$I$9:$I$773,'1 stopień 20_21'!$G$9:$G$773,D56,'1 stopień 20_21'!$K$9:$K$773,"CKZ Bielawa")</f>
        <v>0</v>
      </c>
      <c r="H56" s="104">
        <f>SUMIFS('1 stopień 20_21'!$I$9:$I$773,'1 stopień 20_21'!$G$9:$G$773,D56,'1 stopień 20_21'!$K$9:$K$773,"GCKZ Głogów")</f>
        <v>0</v>
      </c>
      <c r="I56" s="104">
        <f>SUMIFS('1 stopień 20_21'!$I$9:$I$773,'1 stopień 20_21'!$G$9:$G$773,D56,'1 stopień 20_21'!$K$9:$K$773,"CKZ Jawor")</f>
        <v>0</v>
      </c>
      <c r="J56" s="104">
        <f>SUMIFS('1 stopień 20_21'!$I$9:$I$773,'1 stopień 20_21'!$G$9:$G$773,D56,'1 stopień 20_21'!$K$9:$K$773,"JCKZ Jelenia Góra")</f>
        <v>0</v>
      </c>
      <c r="K56" s="104">
        <f>SUMIFS('1 stopień 20_21'!$I$9:$I$773,'1 stopień 20_21'!$G$9:$G$773,D56,'1 stopień 20_21'!$K$9:$K$773,"CKZ Kłodzko")</f>
        <v>0</v>
      </c>
      <c r="L56" s="104">
        <f>SUMIFS('1 stopień 20_21'!$I$9:$I$773,'1 stopień 20_21'!$G$9:$G$773,D56,'1 stopień 20_21'!$K$9:$K$773,"CKZ Legnica")</f>
        <v>0</v>
      </c>
      <c r="M56" s="104">
        <f>SUMIFS('1 stopień 20_21'!$I$9:$I$773,'1 stopień 20_21'!$G$9:$G$773,D56,'1 stopień 20_21'!$K$9:$K$773,"CKZ Oleśnica")</f>
        <v>0</v>
      </c>
      <c r="N56" s="104">
        <f>SUMIFS('1 stopień 20_21'!$I$9:$I$773,'1 stopień 20_21'!$G$9:$G$773,D56,'1 stopień 20_21'!$K$9:$K$773,"CKZ Świdnica")</f>
        <v>0</v>
      </c>
      <c r="O56" s="104">
        <f>SUMIFS('1 stopień 20_21'!$I$9:$I$773,'1 stopień 20_21'!$G$9:$G$773,D56,'1 stopień 20_21'!$K$9:$K$773,"CKZ Wołów")</f>
        <v>0</v>
      </c>
      <c r="P56" s="104">
        <f>SUMIFS('1 stopień 20_21'!$I$9:$I$773,'1 stopień 20_21'!$G$9:$G$773,D56,'1 stopień 20_21'!$K$9:$K$773,"CKZ Ziębice")</f>
        <v>0</v>
      </c>
      <c r="Q56" s="104">
        <f>SUMIFS('1 stopień 20_21'!$I$9:$I$773,'1 stopień 20_21'!$G$9:$G$773,D56,'1 stopień 20_21'!$K$9:$K$773,"CKZ Dobrodzień")</f>
        <v>0</v>
      </c>
      <c r="R56" s="104">
        <f>SUMIFS('1 stopień 20_21'!$I$9:$I$773,'1 stopień 20_21'!$G$9:$G$773,D56,'1 stopień 20_21'!$K$9:$K$773,"CKZ Głubczyce")</f>
        <v>0</v>
      </c>
      <c r="S56" s="104">
        <f>SUMIFS('1 stopień 20_21'!$I$9:$I$773,'1 stopień 20_21'!$G$9:$G$773,D56,'1 stopień 20_21'!$K$9:$K$773,"CKZ Kędzierzyn Kożle")</f>
        <v>0</v>
      </c>
      <c r="T56" s="104">
        <f>SUMIFS('1 stopień 20_21'!$I$9:$I$773,'1 stopień 20_21'!$G$9:$G$773,D56,'1 stopień 20_21'!$K$9:$K$773,"CKZ Kluczbork")</f>
        <v>0</v>
      </c>
      <c r="U56" s="104">
        <f>SUMIFS('1 stopień 20_21'!$I$9:$I$773,'1 stopień 20_21'!$G$9:$G$773,D56,'1 stopień 20_21'!$K$9:$K$773,"CKZ Krotoszyn")</f>
        <v>0</v>
      </c>
      <c r="V56" s="104">
        <f>SUMIFS('1 stopień 20_21'!$I$9:$I$773,'1 stopień 20_21'!$G$9:$G$773,D56,'1 stopień 20_21'!$K$9:$K$773,"CKZ Olkusz")</f>
        <v>0</v>
      </c>
      <c r="W56" s="104">
        <f>SUMIFS('1 stopień 20_21'!$I$9:$I$773,'1 stopień 20_21'!$G$9:$G$773,D56,'1 stopień 20_21'!$K$9:$K$773,"CKZ Wschowa")</f>
        <v>0</v>
      </c>
      <c r="X56" s="104">
        <f>SUMIFS('1 stopień 20_21'!$I$9:$I$773,'1 stopień 20_21'!$G$9:$G$773,D56,'1 stopień 20_21'!$K$9:$K$773,"CKZ Zielona Góra")</f>
        <v>0</v>
      </c>
      <c r="Y56" s="104">
        <f>SUMIFS('1 stopień 20_21'!$I$9:$I$773,'1 stopień 20_21'!$G$9:$G$773,D56,'1 stopień 20_21'!$K$9:$K$773,"Rzemieślnicza Wałbrzych")</f>
        <v>0</v>
      </c>
      <c r="Z56" s="104">
        <f>SUMIFS('1 stopień 20_21'!$I$9:$I$773,'1 stopień 20_21'!$G$9:$G$773,D56,'1 stopień 20_21'!$K$9:$K$773,"CKZ Mosina")</f>
        <v>0</v>
      </c>
      <c r="AA56" s="104">
        <f>SUMIFS('1 stopień 20_21'!$I$9:$I$773,'1 stopień 20_21'!$G$9:$G$773,D56,'1 stopień 20_21'!$K$9:$K$773,"CKZ Słupsk")</f>
        <v>0</v>
      </c>
      <c r="AB56" s="104">
        <f>SUMIFS('1 stopień 20_21'!$I$9:$I$773,'1 stopień 20_21'!$G$9:$G$773,D56,'1 stopień 20_21'!$K$9:$K$773,"Toyota")</f>
        <v>0</v>
      </c>
      <c r="AC56" s="104">
        <f>SUMIFS('1 stopień 20_21'!$I$9:$I$773,'1 stopień 20_21'!$G$9:$G$773,D56,'1 stopień 20_21'!$K$9:$K$773,"CKZ Wrocław")</f>
        <v>0</v>
      </c>
      <c r="AD56" s="104">
        <f>SUMIFS('1 stopień 20_21'!$I$9:$I$773,'1 stopień 20_21'!$G$9:$G$773,D56,'1 stopień 20_21'!$K$9:$K$773,"CKZ Opole")</f>
        <v>0</v>
      </c>
      <c r="AE56" s="104">
        <f>SUMIFS('1 stopień 20_21'!$I$9:$I$773,'1 stopień 20_21'!$G$9:$G$773,D56,'1 stopień 20_21'!$K$9:$K$773,"Chojnów")</f>
        <v>0</v>
      </c>
      <c r="AF56" s="104">
        <f>SUMIFS('1 stopień 20_21'!$I$9:$I$773,'1 stopień 20_21'!$G$9:$G$773,D56,'1 stopień 20_21'!$K$9:$K$773,"")</f>
        <v>0</v>
      </c>
      <c r="AG56" s="105">
        <f t="shared" si="1"/>
        <v>0</v>
      </c>
    </row>
    <row r="57" spans="2:33" ht="16.5" customHeight="1">
      <c r="B57" s="106" t="s">
        <v>627</v>
      </c>
      <c r="C57" s="107">
        <v>932917</v>
      </c>
      <c r="D57" s="107" t="s">
        <v>764</v>
      </c>
      <c r="E57" s="106" t="s">
        <v>763</v>
      </c>
      <c r="F57" s="103">
        <f>SUMIF('1 stopień 20_21'!G$9:G$773,D57,'1 stopień 20_21'!I$9:I$773)</f>
        <v>0</v>
      </c>
      <c r="G57" s="104">
        <f>SUMIFS('1 stopień 20_21'!$I$9:$I$773,'1 stopień 20_21'!$G$9:$G$773,D57,'1 stopień 20_21'!$K$9:$K$773,"CKZ Bielawa")</f>
        <v>0</v>
      </c>
      <c r="H57" s="104">
        <f>SUMIFS('1 stopień 20_21'!$I$9:$I$773,'1 stopień 20_21'!$G$9:$G$773,D57,'1 stopień 20_21'!$K$9:$K$773,"GCKZ Głogów")</f>
        <v>0</v>
      </c>
      <c r="I57" s="104">
        <f>SUMIFS('1 stopień 20_21'!$I$9:$I$773,'1 stopień 20_21'!$G$9:$G$773,D57,'1 stopień 20_21'!$K$9:$K$773,"CKZ Jawor")</f>
        <v>0</v>
      </c>
      <c r="J57" s="104">
        <f>SUMIFS('1 stopień 20_21'!$I$9:$I$773,'1 stopień 20_21'!$G$9:$G$773,D57,'1 stopień 20_21'!$K$9:$K$773,"JCKZ Jelenia Góra")</f>
        <v>0</v>
      </c>
      <c r="K57" s="104">
        <f>SUMIFS('1 stopień 20_21'!$I$9:$I$773,'1 stopień 20_21'!$G$9:$G$773,D57,'1 stopień 20_21'!$K$9:$K$773,"CKZ Kłodzko")</f>
        <v>0</v>
      </c>
      <c r="L57" s="104">
        <f>SUMIFS('1 stopień 20_21'!$I$9:$I$773,'1 stopień 20_21'!$G$9:$G$773,D57,'1 stopień 20_21'!$K$9:$K$773,"CKZ Legnica")</f>
        <v>0</v>
      </c>
      <c r="M57" s="104">
        <f>SUMIFS('1 stopień 20_21'!$I$9:$I$773,'1 stopień 20_21'!$G$9:$G$773,D57,'1 stopień 20_21'!$K$9:$K$773,"CKZ Oleśnica")</f>
        <v>0</v>
      </c>
      <c r="N57" s="104">
        <f>SUMIFS('1 stopień 20_21'!$I$9:$I$773,'1 stopień 20_21'!$G$9:$G$773,D57,'1 stopień 20_21'!$K$9:$K$773,"CKZ Świdnica")</f>
        <v>0</v>
      </c>
      <c r="O57" s="104">
        <f>SUMIFS('1 stopień 20_21'!$I$9:$I$773,'1 stopień 20_21'!$G$9:$G$773,D57,'1 stopień 20_21'!$K$9:$K$773,"CKZ Wołów")</f>
        <v>0</v>
      </c>
      <c r="P57" s="104">
        <f>SUMIFS('1 stopień 20_21'!$I$9:$I$773,'1 stopień 20_21'!$G$9:$G$773,D57,'1 stopień 20_21'!$K$9:$K$773,"CKZ Ziębice")</f>
        <v>0</v>
      </c>
      <c r="Q57" s="104">
        <f>SUMIFS('1 stopień 20_21'!$I$9:$I$773,'1 stopień 20_21'!$G$9:$G$773,D57,'1 stopień 20_21'!$K$9:$K$773,"CKZ Dobrodzień")</f>
        <v>0</v>
      </c>
      <c r="R57" s="104">
        <f>SUMIFS('1 stopień 20_21'!$I$9:$I$773,'1 stopień 20_21'!$G$9:$G$773,D57,'1 stopień 20_21'!$K$9:$K$773,"CKZ Głubczyce")</f>
        <v>0</v>
      </c>
      <c r="S57" s="104">
        <f>SUMIFS('1 stopień 20_21'!$I$9:$I$773,'1 stopień 20_21'!$G$9:$G$773,D57,'1 stopień 20_21'!$K$9:$K$773,"CKZ Kędzierzyn Kożle")</f>
        <v>0</v>
      </c>
      <c r="T57" s="104">
        <f>SUMIFS('1 stopień 20_21'!$I$9:$I$773,'1 stopień 20_21'!$G$9:$G$773,D57,'1 stopień 20_21'!$K$9:$K$773,"CKZ Kluczbork")</f>
        <v>0</v>
      </c>
      <c r="U57" s="104">
        <f>SUMIFS('1 stopień 20_21'!$I$9:$I$773,'1 stopień 20_21'!$G$9:$G$773,D57,'1 stopień 20_21'!$K$9:$K$773,"CKZ Krotoszyn")</f>
        <v>0</v>
      </c>
      <c r="V57" s="104">
        <f>SUMIFS('1 stopień 20_21'!$I$9:$I$773,'1 stopień 20_21'!$G$9:$G$773,D57,'1 stopień 20_21'!$K$9:$K$773,"CKZ Olkusz")</f>
        <v>0</v>
      </c>
      <c r="W57" s="104">
        <f>SUMIFS('1 stopień 20_21'!$I$9:$I$773,'1 stopień 20_21'!$G$9:$G$773,D57,'1 stopień 20_21'!$K$9:$K$773,"CKZ Wschowa")</f>
        <v>0</v>
      </c>
      <c r="X57" s="104">
        <f>SUMIFS('1 stopień 20_21'!$I$9:$I$773,'1 stopień 20_21'!$G$9:$G$773,D57,'1 stopień 20_21'!$K$9:$K$773,"CKZ Zielona Góra")</f>
        <v>0</v>
      </c>
      <c r="Y57" s="104">
        <f>SUMIFS('1 stopień 20_21'!$I$9:$I$773,'1 stopień 20_21'!$G$9:$G$773,D57,'1 stopień 20_21'!$K$9:$K$773,"Rzemieślnicza Wałbrzych")</f>
        <v>0</v>
      </c>
      <c r="Z57" s="104">
        <f>SUMIFS('1 stopień 20_21'!$I$9:$I$773,'1 stopień 20_21'!$G$9:$G$773,D57,'1 stopień 20_21'!$K$9:$K$773,"CKZ Mosina")</f>
        <v>0</v>
      </c>
      <c r="AA57" s="104">
        <f>SUMIFS('1 stopień 20_21'!$I$9:$I$773,'1 stopień 20_21'!$G$9:$G$773,D57,'1 stopień 20_21'!$K$9:$K$773,"CKZ Słupsk")</f>
        <v>0</v>
      </c>
      <c r="AB57" s="104">
        <f>SUMIFS('1 stopień 20_21'!$I$9:$I$773,'1 stopień 20_21'!$G$9:$G$773,D57,'1 stopień 20_21'!$K$9:$K$773,"Toyota")</f>
        <v>0</v>
      </c>
      <c r="AC57" s="104">
        <f>SUMIFS('1 stopień 20_21'!$I$9:$I$773,'1 stopień 20_21'!$G$9:$G$773,D57,'1 stopień 20_21'!$K$9:$K$773,"CKZ Wrocław")</f>
        <v>0</v>
      </c>
      <c r="AD57" s="104">
        <f>SUMIFS('1 stopień 20_21'!$I$9:$I$773,'1 stopień 20_21'!$G$9:$G$773,D57,'1 stopień 20_21'!$K$9:$K$773,"CKZ Opole")</f>
        <v>0</v>
      </c>
      <c r="AE57" s="104">
        <f>SUMIFS('1 stopień 20_21'!$I$9:$I$773,'1 stopień 20_21'!$G$9:$G$773,D57,'1 stopień 20_21'!$K$9:$K$773,"Chojnów")</f>
        <v>0</v>
      </c>
      <c r="AF57" s="104">
        <f>SUMIFS('1 stopień 20_21'!$I$9:$I$773,'1 stopień 20_21'!$G$9:$G$773,D57,'1 stopień 20_21'!$K$9:$K$773,"")</f>
        <v>0</v>
      </c>
      <c r="AG57" s="105">
        <f t="shared" si="1"/>
        <v>0</v>
      </c>
    </row>
    <row r="58" spans="2:33">
      <c r="B58" s="106" t="s">
        <v>217</v>
      </c>
      <c r="C58" s="107">
        <v>722204</v>
      </c>
      <c r="D58" s="107" t="s">
        <v>185</v>
      </c>
      <c r="E58" s="106" t="s">
        <v>846</v>
      </c>
      <c r="F58" s="103">
        <f>SUMIF('1 stopień 20_21'!G$9:G$773,D58,'1 stopień 20_21'!I$9:I$773)</f>
        <v>64</v>
      </c>
      <c r="G58" s="104">
        <f>SUMIFS('1 stopień 20_21'!$I$9:$I$773,'1 stopień 20_21'!$G$9:$G$773,D58,'1 stopień 20_21'!$K$9:$K$773,"CKZ Bielawa")</f>
        <v>0</v>
      </c>
      <c r="H58" s="104">
        <f>SUMIFS('1 stopień 20_21'!$I$9:$I$773,'1 stopień 20_21'!$G$9:$G$773,D58,'1 stopień 20_21'!$K$9:$K$773,"GCKZ Głogów")</f>
        <v>0</v>
      </c>
      <c r="I58" s="104">
        <f>SUMIFS('1 stopień 20_21'!$I$9:$I$773,'1 stopień 20_21'!$G$9:$G$773,D58,'1 stopień 20_21'!$K$9:$K$773,"CKZ Jawor")</f>
        <v>0</v>
      </c>
      <c r="J58" s="104">
        <f>SUMIFS('1 stopień 20_21'!$I$9:$I$773,'1 stopień 20_21'!$G$9:$G$773,D58,'1 stopień 20_21'!$K$9:$K$773,"JCKZ Jelenia Góra")</f>
        <v>0</v>
      </c>
      <c r="K58" s="104">
        <f>SUMIFS('1 stopień 20_21'!$I$9:$I$773,'1 stopień 20_21'!$G$9:$G$773,D58,'1 stopień 20_21'!$K$9:$K$773,"CKZ Kłodzko")</f>
        <v>0</v>
      </c>
      <c r="L58" s="104">
        <f>SUMIFS('1 stopień 20_21'!$I$9:$I$773,'1 stopień 20_21'!$G$9:$G$773,D58,'1 stopień 20_21'!$K$9:$K$773,"CKZ Legnica")</f>
        <v>0</v>
      </c>
      <c r="M58" s="104">
        <f>SUMIFS('1 stopień 20_21'!$I$9:$I$773,'1 stopień 20_21'!$G$9:$G$773,D58,'1 stopień 20_21'!$K$9:$K$773,"CKZ Oleśnica")</f>
        <v>0</v>
      </c>
      <c r="N58" s="104">
        <f>SUMIFS('1 stopień 20_21'!$I$9:$I$773,'1 stopień 20_21'!$G$9:$G$773,D58,'1 stopień 20_21'!$K$9:$K$773,"CKZ Świdnica")</f>
        <v>29</v>
      </c>
      <c r="O58" s="104">
        <f>SUMIFS('1 stopień 20_21'!$I$9:$I$773,'1 stopień 20_21'!$G$9:$G$773,D58,'1 stopień 20_21'!$K$9:$K$773,"CKZ Wołów")</f>
        <v>27</v>
      </c>
      <c r="P58" s="104">
        <f>SUMIFS('1 stopień 20_21'!$I$9:$I$773,'1 stopień 20_21'!$G$9:$G$773,D58,'1 stopień 20_21'!$K$9:$K$773,"CKZ Ziębice")</f>
        <v>0</v>
      </c>
      <c r="Q58" s="104">
        <f>SUMIFS('1 stopień 20_21'!$I$9:$I$773,'1 stopień 20_21'!$G$9:$G$773,D58,'1 stopień 20_21'!$K$9:$K$773,"CKZ Dobrodzień")</f>
        <v>0</v>
      </c>
      <c r="R58" s="104">
        <f>SUMIFS('1 stopień 20_21'!$I$9:$I$773,'1 stopień 20_21'!$G$9:$G$773,D58,'1 stopień 20_21'!$K$9:$K$773,"CKZ Głubczyce")</f>
        <v>0</v>
      </c>
      <c r="S58" s="104">
        <f>SUMIFS('1 stopień 20_21'!$I$9:$I$773,'1 stopień 20_21'!$G$9:$G$773,D58,'1 stopień 20_21'!$K$9:$K$773,"CKZ Kędzierzyn Kożle")</f>
        <v>0</v>
      </c>
      <c r="T58" s="104">
        <f>SUMIFS('1 stopień 20_21'!$I$9:$I$773,'1 stopień 20_21'!$G$9:$G$773,D58,'1 stopień 20_21'!$K$9:$K$773,"CKZ Kluczbork")</f>
        <v>0</v>
      </c>
      <c r="U58" s="104">
        <f>SUMIFS('1 stopień 20_21'!$I$9:$I$773,'1 stopień 20_21'!$G$9:$G$773,D58,'1 stopień 20_21'!$K$9:$K$773,"CKZ Krotoszyn")</f>
        <v>2</v>
      </c>
      <c r="V58" s="104">
        <f>SUMIFS('1 stopień 20_21'!$I$9:$I$773,'1 stopień 20_21'!$G$9:$G$773,D58,'1 stopień 20_21'!$K$9:$K$773,"CKZ Olkusz")</f>
        <v>0</v>
      </c>
      <c r="W58" s="104">
        <f>SUMIFS('1 stopień 20_21'!$I$9:$I$773,'1 stopień 20_21'!$G$9:$G$773,D58,'1 stopień 20_21'!$K$9:$K$773,"CKZ Wschowa")</f>
        <v>4</v>
      </c>
      <c r="X58" s="104">
        <f>SUMIFS('1 stopień 20_21'!$I$9:$I$773,'1 stopień 20_21'!$G$9:$G$773,D58,'1 stopień 20_21'!$K$9:$K$773,"CKZ Zielona Góra")</f>
        <v>0</v>
      </c>
      <c r="Y58" s="104">
        <f>SUMIFS('1 stopień 20_21'!$I$9:$I$773,'1 stopień 20_21'!$G$9:$G$773,D58,'1 stopień 20_21'!$K$9:$K$773,"Rzemieślnicza Wałbrzych")</f>
        <v>0</v>
      </c>
      <c r="Z58" s="104">
        <f>SUMIFS('1 stopień 20_21'!$I$9:$I$773,'1 stopień 20_21'!$G$9:$G$773,D58,'1 stopień 20_21'!$K$9:$K$773,"CKZ Mosina")</f>
        <v>0</v>
      </c>
      <c r="AA58" s="104">
        <f>SUMIFS('1 stopień 20_21'!$I$9:$I$773,'1 stopień 20_21'!$G$9:$G$773,D58,'1 stopień 20_21'!$K$9:$K$773,"CKZ Słupsk")</f>
        <v>0</v>
      </c>
      <c r="AB58" s="104">
        <f>SUMIFS('1 stopień 20_21'!$I$9:$I$773,'1 stopień 20_21'!$G$9:$G$773,D58,'1 stopień 20_21'!$K$9:$K$773,"Toyota")</f>
        <v>0</v>
      </c>
      <c r="AC58" s="104">
        <f>SUMIFS('1 stopień 20_21'!$I$9:$I$773,'1 stopień 20_21'!$G$9:$G$773,D58,'1 stopień 20_21'!$K$9:$K$773,"CKZ Wrocław")</f>
        <v>0</v>
      </c>
      <c r="AD58" s="104">
        <f>SUMIFS('1 stopień 20_21'!$I$9:$I$773,'1 stopień 20_21'!$G$9:$G$773,D58,'1 stopień 20_21'!$K$9:$K$773,"CKZ Opole")</f>
        <v>2</v>
      </c>
      <c r="AE58" s="104">
        <f>SUMIFS('1 stopień 20_21'!$I$9:$I$773,'1 stopień 20_21'!$G$9:$G$773,D58,'1 stopień 20_21'!$K$9:$K$773,"Chojnów")</f>
        <v>0</v>
      </c>
      <c r="AF58" s="104">
        <f>SUMIFS('1 stopień 20_21'!$I$9:$I$773,'1 stopień 20_21'!$G$9:$G$773,D58,'1 stopień 20_21'!$K$9:$K$773,"")</f>
        <v>0</v>
      </c>
      <c r="AG58" s="105">
        <f t="shared" si="1"/>
        <v>64</v>
      </c>
    </row>
    <row r="59" spans="2:33">
      <c r="B59" s="106" t="s">
        <v>628</v>
      </c>
      <c r="C59" s="107">
        <v>731103</v>
      </c>
      <c r="D59" s="107" t="s">
        <v>1382</v>
      </c>
      <c r="E59" s="106" t="s">
        <v>844</v>
      </c>
      <c r="F59" s="103">
        <f>SUMIF('1 stopień 20_21'!G$9:G$773,D59,'1 stopień 20_21'!I$9:I$773)</f>
        <v>0</v>
      </c>
      <c r="G59" s="104">
        <f>SUMIFS('1 stopień 20_21'!$I$9:$I$773,'1 stopień 20_21'!$G$9:$G$773,D59,'1 stopień 20_21'!$K$9:$K$773,"CKZ Bielawa")</f>
        <v>0</v>
      </c>
      <c r="H59" s="104">
        <f>SUMIFS('1 stopień 20_21'!$I$9:$I$773,'1 stopień 20_21'!$G$9:$G$773,D59,'1 stopień 20_21'!$K$9:$K$773,"GCKZ Głogów")</f>
        <v>0</v>
      </c>
      <c r="I59" s="104">
        <f>SUMIFS('1 stopień 20_21'!$I$9:$I$773,'1 stopień 20_21'!$G$9:$G$773,D59,'1 stopień 20_21'!$K$9:$K$773,"CKZ Jawor")</f>
        <v>0</v>
      </c>
      <c r="J59" s="104">
        <f>SUMIFS('1 stopień 20_21'!$I$9:$I$773,'1 stopień 20_21'!$G$9:$G$773,D59,'1 stopień 20_21'!$K$9:$K$773,"JCKZ Jelenia Góra")</f>
        <v>0</v>
      </c>
      <c r="K59" s="104">
        <f>SUMIFS('1 stopień 20_21'!$I$9:$I$773,'1 stopień 20_21'!$G$9:$G$773,D59,'1 stopień 20_21'!$K$9:$K$773,"CKZ Kłodzko")</f>
        <v>0</v>
      </c>
      <c r="L59" s="104">
        <f>SUMIFS('1 stopień 20_21'!$I$9:$I$773,'1 stopień 20_21'!$G$9:$G$773,D59,'1 stopień 20_21'!$K$9:$K$773,"CKZ Legnica")</f>
        <v>0</v>
      </c>
      <c r="M59" s="104">
        <f>SUMIFS('1 stopień 20_21'!$I$9:$I$773,'1 stopień 20_21'!$G$9:$G$773,D59,'1 stopień 20_21'!$K$9:$K$773,"CKZ Oleśnica")</f>
        <v>0</v>
      </c>
      <c r="N59" s="104">
        <f>SUMIFS('1 stopień 20_21'!$I$9:$I$773,'1 stopień 20_21'!$G$9:$G$773,D59,'1 stopień 20_21'!$K$9:$K$773,"CKZ Świdnica")</f>
        <v>0</v>
      </c>
      <c r="O59" s="104">
        <f>SUMIFS('1 stopień 20_21'!$I$9:$I$773,'1 stopień 20_21'!$G$9:$G$773,D59,'1 stopień 20_21'!$K$9:$K$773,"CKZ Wołów")</f>
        <v>0</v>
      </c>
      <c r="P59" s="104">
        <f>SUMIFS('1 stopień 20_21'!$I$9:$I$773,'1 stopień 20_21'!$G$9:$G$773,D59,'1 stopień 20_21'!$K$9:$K$773,"CKZ Ziębice")</f>
        <v>0</v>
      </c>
      <c r="Q59" s="104">
        <f>SUMIFS('1 stopień 20_21'!$I$9:$I$773,'1 stopień 20_21'!$G$9:$G$773,D59,'1 stopień 20_21'!$K$9:$K$773,"CKZ Dobrodzień")</f>
        <v>0</v>
      </c>
      <c r="R59" s="104">
        <f>SUMIFS('1 stopień 20_21'!$I$9:$I$773,'1 stopień 20_21'!$G$9:$G$773,D59,'1 stopień 20_21'!$K$9:$K$773,"CKZ Głubczyce")</f>
        <v>0</v>
      </c>
      <c r="S59" s="104">
        <f>SUMIFS('1 stopień 20_21'!$I$9:$I$773,'1 stopień 20_21'!$G$9:$G$773,D59,'1 stopień 20_21'!$K$9:$K$773,"CKZ Kędzierzyn Kożle")</f>
        <v>0</v>
      </c>
      <c r="T59" s="104">
        <f>SUMIFS('1 stopień 20_21'!$I$9:$I$773,'1 stopień 20_21'!$G$9:$G$773,D59,'1 stopień 20_21'!$K$9:$K$773,"CKZ Kluczbork")</f>
        <v>0</v>
      </c>
      <c r="U59" s="104">
        <f>SUMIFS('1 stopień 20_21'!$I$9:$I$773,'1 stopień 20_21'!$G$9:$G$773,D59,'1 stopień 20_21'!$K$9:$K$773,"CKZ Krotoszyn")</f>
        <v>0</v>
      </c>
      <c r="V59" s="104">
        <f>SUMIFS('1 stopień 20_21'!$I$9:$I$773,'1 stopień 20_21'!$G$9:$G$773,D59,'1 stopień 20_21'!$K$9:$K$773,"CKZ Olkusz")</f>
        <v>0</v>
      </c>
      <c r="W59" s="104">
        <f>SUMIFS('1 stopień 20_21'!$I$9:$I$773,'1 stopień 20_21'!$G$9:$G$773,D59,'1 stopień 20_21'!$K$9:$K$773,"CKZ Wschowa")</f>
        <v>0</v>
      </c>
      <c r="X59" s="104">
        <f>SUMIFS('1 stopień 20_21'!$I$9:$I$773,'1 stopień 20_21'!$G$9:$G$773,D59,'1 stopień 20_21'!$K$9:$K$773,"CKZ Zielona Góra")</f>
        <v>0</v>
      </c>
      <c r="Y59" s="104">
        <f>SUMIFS('1 stopień 20_21'!$I$9:$I$773,'1 stopień 20_21'!$G$9:$G$773,D59,'1 stopień 20_21'!$K$9:$K$773,"Rzemieślnicza Wałbrzych")</f>
        <v>0</v>
      </c>
      <c r="Z59" s="104">
        <f>SUMIFS('1 stopień 20_21'!$I$9:$I$773,'1 stopień 20_21'!$G$9:$G$773,D59,'1 stopień 20_21'!$K$9:$K$773,"CKZ Mosina")</f>
        <v>0</v>
      </c>
      <c r="AA59" s="104">
        <f>SUMIFS('1 stopień 20_21'!$I$9:$I$773,'1 stopień 20_21'!$G$9:$G$773,D59,'1 stopień 20_21'!$K$9:$K$773,"CKZ Słupsk")</f>
        <v>0</v>
      </c>
      <c r="AB59" s="104">
        <f>SUMIFS('1 stopień 20_21'!$I$9:$I$773,'1 stopień 20_21'!$G$9:$G$773,D59,'1 stopień 20_21'!$K$9:$K$773,"Toyota")</f>
        <v>0</v>
      </c>
      <c r="AC59" s="104">
        <f>SUMIFS('1 stopień 20_21'!$I$9:$I$773,'1 stopień 20_21'!$G$9:$G$773,D59,'1 stopień 20_21'!$K$9:$K$773,"CKZ Wrocław")</f>
        <v>0</v>
      </c>
      <c r="AD59" s="104">
        <f>SUMIFS('1 stopień 20_21'!$I$9:$I$773,'1 stopień 20_21'!$G$9:$G$773,D59,'1 stopień 20_21'!$K$9:$K$773,"CKZ Opole")</f>
        <v>0</v>
      </c>
      <c r="AE59" s="104">
        <f>SUMIFS('1 stopień 20_21'!$I$9:$I$773,'1 stopień 20_21'!$G$9:$G$773,D59,'1 stopień 20_21'!$K$9:$K$773,"Chojnów")</f>
        <v>0</v>
      </c>
      <c r="AF59" s="104">
        <f>SUMIFS('1 stopień 20_21'!$I$9:$I$773,'1 stopień 20_21'!$G$9:$G$773,D59,'1 stopień 20_21'!$K$9:$K$773,"")</f>
        <v>0</v>
      </c>
      <c r="AG59" s="105">
        <f t="shared" si="1"/>
        <v>0</v>
      </c>
    </row>
    <row r="60" spans="2:33">
      <c r="B60" s="106" t="s">
        <v>629</v>
      </c>
      <c r="C60" s="107">
        <v>731104</v>
      </c>
      <c r="D60" s="107" t="s">
        <v>843</v>
      </c>
      <c r="E60" s="106" t="s">
        <v>842</v>
      </c>
      <c r="F60" s="103">
        <f>SUMIF('1 stopień 20_21'!G$9:G$773,D60,'1 stopień 20_21'!I$9:I$773)</f>
        <v>0</v>
      </c>
      <c r="G60" s="104">
        <f>SUMIFS('1 stopień 20_21'!$I$9:$I$773,'1 stopień 20_21'!$G$9:$G$773,D60,'1 stopień 20_21'!$K$9:$K$773,"CKZ Bielawa")</f>
        <v>0</v>
      </c>
      <c r="H60" s="104">
        <f>SUMIFS('1 stopień 20_21'!$I$9:$I$773,'1 stopień 20_21'!$G$9:$G$773,D60,'1 stopień 20_21'!$K$9:$K$773,"GCKZ Głogów")</f>
        <v>0</v>
      </c>
      <c r="I60" s="104">
        <f>SUMIFS('1 stopień 20_21'!$I$9:$I$773,'1 stopień 20_21'!$G$9:$G$773,D60,'1 stopień 20_21'!$K$9:$K$773,"CKZ Jawor")</f>
        <v>0</v>
      </c>
      <c r="J60" s="104">
        <f>SUMIFS('1 stopień 20_21'!$I$9:$I$773,'1 stopień 20_21'!$G$9:$G$773,D60,'1 stopień 20_21'!$K$9:$K$773,"JCKZ Jelenia Góra")</f>
        <v>0</v>
      </c>
      <c r="K60" s="104">
        <f>SUMIFS('1 stopień 20_21'!$I$9:$I$773,'1 stopień 20_21'!$G$9:$G$773,D60,'1 stopień 20_21'!$K$9:$K$773,"CKZ Kłodzko")</f>
        <v>0</v>
      </c>
      <c r="L60" s="104">
        <f>SUMIFS('1 stopień 20_21'!$I$9:$I$773,'1 stopień 20_21'!$G$9:$G$773,D60,'1 stopień 20_21'!$K$9:$K$773,"CKZ Legnica")</f>
        <v>0</v>
      </c>
      <c r="M60" s="104">
        <f>SUMIFS('1 stopień 20_21'!$I$9:$I$773,'1 stopień 20_21'!$G$9:$G$773,D60,'1 stopień 20_21'!$K$9:$K$773,"CKZ Oleśnica")</f>
        <v>0</v>
      </c>
      <c r="N60" s="104">
        <f>SUMIFS('1 stopień 20_21'!$I$9:$I$773,'1 stopień 20_21'!$G$9:$G$773,D60,'1 stopień 20_21'!$K$9:$K$773,"CKZ Świdnica")</f>
        <v>0</v>
      </c>
      <c r="O60" s="104">
        <f>SUMIFS('1 stopień 20_21'!$I$9:$I$773,'1 stopień 20_21'!$G$9:$G$773,D60,'1 stopień 20_21'!$K$9:$K$773,"CKZ Wołów")</f>
        <v>0</v>
      </c>
      <c r="P60" s="104">
        <f>SUMIFS('1 stopień 20_21'!$I$9:$I$773,'1 stopień 20_21'!$G$9:$G$773,D60,'1 stopień 20_21'!$K$9:$K$773,"CKZ Ziębice")</f>
        <v>0</v>
      </c>
      <c r="Q60" s="104">
        <f>SUMIFS('1 stopień 20_21'!$I$9:$I$773,'1 stopień 20_21'!$G$9:$G$773,D60,'1 stopień 20_21'!$K$9:$K$773,"CKZ Dobrodzień")</f>
        <v>0</v>
      </c>
      <c r="R60" s="104">
        <f>SUMIFS('1 stopień 20_21'!$I$9:$I$773,'1 stopień 20_21'!$G$9:$G$773,D60,'1 stopień 20_21'!$K$9:$K$773,"CKZ Głubczyce")</f>
        <v>0</v>
      </c>
      <c r="S60" s="104">
        <f>SUMIFS('1 stopień 20_21'!$I$9:$I$773,'1 stopień 20_21'!$G$9:$G$773,D60,'1 stopień 20_21'!$K$9:$K$773,"CKZ Kędzierzyn Kożle")</f>
        <v>0</v>
      </c>
      <c r="T60" s="104">
        <f>SUMIFS('1 stopień 20_21'!$I$9:$I$773,'1 stopień 20_21'!$G$9:$G$773,D60,'1 stopień 20_21'!$K$9:$K$773,"CKZ Kluczbork")</f>
        <v>0</v>
      </c>
      <c r="U60" s="104">
        <f>SUMIFS('1 stopień 20_21'!$I$9:$I$773,'1 stopień 20_21'!$G$9:$G$773,D60,'1 stopień 20_21'!$K$9:$K$773,"CKZ Krotoszyn")</f>
        <v>0</v>
      </c>
      <c r="V60" s="104">
        <f>SUMIFS('1 stopień 20_21'!$I$9:$I$773,'1 stopień 20_21'!$G$9:$G$773,D60,'1 stopień 20_21'!$K$9:$K$773,"CKZ Olkusz")</f>
        <v>0</v>
      </c>
      <c r="W60" s="104">
        <f>SUMIFS('1 stopień 20_21'!$I$9:$I$773,'1 stopień 20_21'!$G$9:$G$773,D60,'1 stopień 20_21'!$K$9:$K$773,"CKZ Wschowa")</f>
        <v>0</v>
      </c>
      <c r="X60" s="104">
        <f>SUMIFS('1 stopień 20_21'!$I$9:$I$773,'1 stopień 20_21'!$G$9:$G$773,D60,'1 stopień 20_21'!$K$9:$K$773,"CKZ Zielona Góra")</f>
        <v>0</v>
      </c>
      <c r="Y60" s="104">
        <f>SUMIFS('1 stopień 20_21'!$I$9:$I$773,'1 stopień 20_21'!$G$9:$G$773,D60,'1 stopień 20_21'!$K$9:$K$773,"Rzemieślnicza Wałbrzych")</f>
        <v>0</v>
      </c>
      <c r="Z60" s="104">
        <f>SUMIFS('1 stopień 20_21'!$I$9:$I$773,'1 stopień 20_21'!$G$9:$G$773,D60,'1 stopień 20_21'!$K$9:$K$773,"CKZ Mosina")</f>
        <v>0</v>
      </c>
      <c r="AA60" s="104">
        <f>SUMIFS('1 stopień 20_21'!$I$9:$I$773,'1 stopień 20_21'!$G$9:$G$773,D60,'1 stopień 20_21'!$K$9:$K$773,"CKZ Słupsk")</f>
        <v>0</v>
      </c>
      <c r="AB60" s="104">
        <f>SUMIFS('1 stopień 20_21'!$I$9:$I$773,'1 stopień 20_21'!$G$9:$G$773,D60,'1 stopień 20_21'!$K$9:$K$773,"Toyota")</f>
        <v>0</v>
      </c>
      <c r="AC60" s="104">
        <f>SUMIFS('1 stopień 20_21'!$I$9:$I$773,'1 stopień 20_21'!$G$9:$G$773,D60,'1 stopień 20_21'!$K$9:$K$773,"CKZ Wrocław")</f>
        <v>0</v>
      </c>
      <c r="AD60" s="104">
        <f>SUMIFS('1 stopień 20_21'!$I$9:$I$773,'1 stopień 20_21'!$G$9:$G$773,D60,'1 stopień 20_21'!$K$9:$K$773,"CKZ Opole")</f>
        <v>0</v>
      </c>
      <c r="AE60" s="104">
        <f>SUMIFS('1 stopień 20_21'!$I$9:$I$773,'1 stopień 20_21'!$G$9:$G$773,D60,'1 stopień 20_21'!$K$9:$K$773,"Chojnów")</f>
        <v>0</v>
      </c>
      <c r="AF60" s="104">
        <f>SUMIFS('1 stopień 20_21'!$I$9:$I$773,'1 stopień 20_21'!$G$9:$G$773,D60,'1 stopień 20_21'!$K$9:$K$773,"")</f>
        <v>0</v>
      </c>
      <c r="AG60" s="105">
        <f t="shared" si="1"/>
        <v>0</v>
      </c>
    </row>
    <row r="61" spans="2:33">
      <c r="B61" s="106" t="s">
        <v>630</v>
      </c>
      <c r="C61" s="107">
        <v>731106</v>
      </c>
      <c r="D61" s="107" t="s">
        <v>1383</v>
      </c>
      <c r="E61" s="106" t="s">
        <v>840</v>
      </c>
      <c r="F61" s="103">
        <f>SUMIF('1 stopień 20_21'!G$9:G$773,D61,'1 stopień 20_21'!I$9:I$773)</f>
        <v>0</v>
      </c>
      <c r="G61" s="104">
        <f>SUMIFS('1 stopień 20_21'!$I$9:$I$773,'1 stopień 20_21'!$G$9:$G$773,D61,'1 stopień 20_21'!$K$9:$K$773,"CKZ Bielawa")</f>
        <v>0</v>
      </c>
      <c r="H61" s="104">
        <f>SUMIFS('1 stopień 20_21'!$I$9:$I$773,'1 stopień 20_21'!$G$9:$G$773,D61,'1 stopień 20_21'!$K$9:$K$773,"GCKZ Głogów")</f>
        <v>0</v>
      </c>
      <c r="I61" s="104">
        <f>SUMIFS('1 stopień 20_21'!$I$9:$I$773,'1 stopień 20_21'!$G$9:$G$773,D61,'1 stopień 20_21'!$K$9:$K$773,"CKZ Jawor")</f>
        <v>0</v>
      </c>
      <c r="J61" s="104">
        <f>SUMIFS('1 stopień 20_21'!$I$9:$I$773,'1 stopień 20_21'!$G$9:$G$773,D61,'1 stopień 20_21'!$K$9:$K$773,"JCKZ Jelenia Góra")</f>
        <v>0</v>
      </c>
      <c r="K61" s="104">
        <f>SUMIFS('1 stopień 20_21'!$I$9:$I$773,'1 stopień 20_21'!$G$9:$G$773,D61,'1 stopień 20_21'!$K$9:$K$773,"CKZ Kłodzko")</f>
        <v>0</v>
      </c>
      <c r="L61" s="104">
        <f>SUMIFS('1 stopień 20_21'!$I$9:$I$773,'1 stopień 20_21'!$G$9:$G$773,D61,'1 stopień 20_21'!$K$9:$K$773,"CKZ Legnica")</f>
        <v>0</v>
      </c>
      <c r="M61" s="104">
        <f>SUMIFS('1 stopień 20_21'!$I$9:$I$773,'1 stopień 20_21'!$G$9:$G$773,D61,'1 stopień 20_21'!$K$9:$K$773,"CKZ Oleśnica")</f>
        <v>0</v>
      </c>
      <c r="N61" s="104">
        <f>SUMIFS('1 stopień 20_21'!$I$9:$I$773,'1 stopień 20_21'!$G$9:$G$773,D61,'1 stopień 20_21'!$K$9:$K$773,"CKZ Świdnica")</f>
        <v>0</v>
      </c>
      <c r="O61" s="104">
        <f>SUMIFS('1 stopień 20_21'!$I$9:$I$773,'1 stopień 20_21'!$G$9:$G$773,D61,'1 stopień 20_21'!$K$9:$K$773,"CKZ Wołów")</f>
        <v>0</v>
      </c>
      <c r="P61" s="104">
        <f>SUMIFS('1 stopień 20_21'!$I$9:$I$773,'1 stopień 20_21'!$G$9:$G$773,D61,'1 stopień 20_21'!$K$9:$K$773,"CKZ Ziębice")</f>
        <v>0</v>
      </c>
      <c r="Q61" s="104">
        <f>SUMIFS('1 stopień 20_21'!$I$9:$I$773,'1 stopień 20_21'!$G$9:$G$773,D61,'1 stopień 20_21'!$K$9:$K$773,"CKZ Dobrodzień")</f>
        <v>0</v>
      </c>
      <c r="R61" s="104">
        <f>SUMIFS('1 stopień 20_21'!$I$9:$I$773,'1 stopień 20_21'!$G$9:$G$773,D61,'1 stopień 20_21'!$K$9:$K$773,"CKZ Głubczyce")</f>
        <v>0</v>
      </c>
      <c r="S61" s="104">
        <f>SUMIFS('1 stopień 20_21'!$I$9:$I$773,'1 stopień 20_21'!$G$9:$G$773,D61,'1 stopień 20_21'!$K$9:$K$773,"CKZ Kędzierzyn Kożle")</f>
        <v>0</v>
      </c>
      <c r="T61" s="104">
        <f>SUMIFS('1 stopień 20_21'!$I$9:$I$773,'1 stopień 20_21'!$G$9:$G$773,D61,'1 stopień 20_21'!$K$9:$K$773,"CKZ Kluczbork")</f>
        <v>0</v>
      </c>
      <c r="U61" s="104">
        <f>SUMIFS('1 stopień 20_21'!$I$9:$I$773,'1 stopień 20_21'!$G$9:$G$773,D61,'1 stopień 20_21'!$K$9:$K$773,"CKZ Krotoszyn")</f>
        <v>0</v>
      </c>
      <c r="V61" s="104">
        <f>SUMIFS('1 stopień 20_21'!$I$9:$I$773,'1 stopień 20_21'!$G$9:$G$773,D61,'1 stopień 20_21'!$K$9:$K$773,"CKZ Olkusz")</f>
        <v>0</v>
      </c>
      <c r="W61" s="104">
        <f>SUMIFS('1 stopień 20_21'!$I$9:$I$773,'1 stopień 20_21'!$G$9:$G$773,D61,'1 stopień 20_21'!$K$9:$K$773,"CKZ Wschowa")</f>
        <v>0</v>
      </c>
      <c r="X61" s="104">
        <f>SUMIFS('1 stopień 20_21'!$I$9:$I$773,'1 stopień 20_21'!$G$9:$G$773,D61,'1 stopień 20_21'!$K$9:$K$773,"CKZ Zielona Góra")</f>
        <v>0</v>
      </c>
      <c r="Y61" s="104">
        <f>SUMIFS('1 stopień 20_21'!$I$9:$I$773,'1 stopień 20_21'!$G$9:$G$773,D61,'1 stopień 20_21'!$K$9:$K$773,"Rzemieślnicza Wałbrzych")</f>
        <v>0</v>
      </c>
      <c r="Z61" s="104">
        <f>SUMIFS('1 stopień 20_21'!$I$9:$I$773,'1 stopień 20_21'!$G$9:$G$773,D61,'1 stopień 20_21'!$K$9:$K$773,"CKZ Mosina")</f>
        <v>0</v>
      </c>
      <c r="AA61" s="104">
        <f>SUMIFS('1 stopień 20_21'!$I$9:$I$773,'1 stopień 20_21'!$G$9:$G$773,D61,'1 stopień 20_21'!$K$9:$K$773,"CKZ Słupsk")</f>
        <v>0</v>
      </c>
      <c r="AB61" s="104">
        <f>SUMIFS('1 stopień 20_21'!$I$9:$I$773,'1 stopień 20_21'!$G$9:$G$773,D61,'1 stopień 20_21'!$K$9:$K$773,"Toyota")</f>
        <v>0</v>
      </c>
      <c r="AC61" s="104">
        <f>SUMIFS('1 stopień 20_21'!$I$9:$I$773,'1 stopień 20_21'!$G$9:$G$773,D61,'1 stopień 20_21'!$K$9:$K$773,"CKZ Wrocław")</f>
        <v>0</v>
      </c>
      <c r="AD61" s="104">
        <f>SUMIFS('1 stopień 20_21'!$I$9:$I$773,'1 stopień 20_21'!$G$9:$G$773,D61,'1 stopień 20_21'!$K$9:$K$773,"CKZ Opole")</f>
        <v>0</v>
      </c>
      <c r="AE61" s="104">
        <f>SUMIFS('1 stopień 20_21'!$I$9:$I$773,'1 stopień 20_21'!$G$9:$G$773,D61,'1 stopień 20_21'!$K$9:$K$773,"Chojnów")</f>
        <v>0</v>
      </c>
      <c r="AF61" s="104">
        <f>SUMIFS('1 stopień 20_21'!$I$9:$I$773,'1 stopień 20_21'!$G$9:$G$773,D61,'1 stopień 20_21'!$K$9:$K$773,"")</f>
        <v>0</v>
      </c>
      <c r="AG61" s="105">
        <f t="shared" si="1"/>
        <v>0</v>
      </c>
    </row>
    <row r="62" spans="2:33">
      <c r="B62" s="106" t="s">
        <v>631</v>
      </c>
      <c r="C62" s="107">
        <v>731305</v>
      </c>
      <c r="D62" s="107" t="s">
        <v>223</v>
      </c>
      <c r="E62" s="106" t="s">
        <v>838</v>
      </c>
      <c r="F62" s="103">
        <f>SUMIF('1 stopień 20_21'!G$9:G$773,D62,'1 stopień 20_21'!I$9:I$773)</f>
        <v>1</v>
      </c>
      <c r="G62" s="104">
        <f>SUMIFS('1 stopień 20_21'!$I$9:$I$773,'1 stopień 20_21'!$G$9:$G$773,D62,'1 stopień 20_21'!$K$9:$K$773,"CKZ Bielawa")</f>
        <v>0</v>
      </c>
      <c r="H62" s="104">
        <f>SUMIFS('1 stopień 20_21'!$I$9:$I$773,'1 stopień 20_21'!$G$9:$G$773,D62,'1 stopień 20_21'!$K$9:$K$773,"GCKZ Głogów")</f>
        <v>0</v>
      </c>
      <c r="I62" s="104">
        <f>SUMIFS('1 stopień 20_21'!$I$9:$I$773,'1 stopień 20_21'!$G$9:$G$773,D62,'1 stopień 20_21'!$K$9:$K$773,"CKZ Jawor")</f>
        <v>0</v>
      </c>
      <c r="J62" s="104">
        <f>SUMIFS('1 stopień 20_21'!$I$9:$I$773,'1 stopień 20_21'!$G$9:$G$773,D62,'1 stopień 20_21'!$K$9:$K$773,"JCKZ Jelenia Góra")</f>
        <v>0</v>
      </c>
      <c r="K62" s="104">
        <f>SUMIFS('1 stopień 20_21'!$I$9:$I$773,'1 stopień 20_21'!$G$9:$G$773,D62,'1 stopień 20_21'!$K$9:$K$773,"CKZ Kłodzko")</f>
        <v>0</v>
      </c>
      <c r="L62" s="104">
        <f>SUMIFS('1 stopień 20_21'!$I$9:$I$773,'1 stopień 20_21'!$G$9:$G$773,D62,'1 stopień 20_21'!$K$9:$K$773,"CKZ Legnica")</f>
        <v>0</v>
      </c>
      <c r="M62" s="104">
        <f>SUMIFS('1 stopień 20_21'!$I$9:$I$773,'1 stopień 20_21'!$G$9:$G$773,D62,'1 stopień 20_21'!$K$9:$K$773,"CKZ Oleśnica")</f>
        <v>0</v>
      </c>
      <c r="N62" s="104">
        <f>SUMIFS('1 stopień 20_21'!$I$9:$I$773,'1 stopień 20_21'!$G$9:$G$773,D62,'1 stopień 20_21'!$K$9:$K$773,"CKZ Świdnica")</f>
        <v>0</v>
      </c>
      <c r="O62" s="104">
        <f>SUMIFS('1 stopień 20_21'!$I$9:$I$773,'1 stopień 20_21'!$G$9:$G$773,D62,'1 stopień 20_21'!$K$9:$K$773,"CKZ Wołów")</f>
        <v>0</v>
      </c>
      <c r="P62" s="104">
        <f>SUMIFS('1 stopień 20_21'!$I$9:$I$773,'1 stopień 20_21'!$G$9:$G$773,D62,'1 stopień 20_21'!$K$9:$K$773,"CKZ Ziębice")</f>
        <v>0</v>
      </c>
      <c r="Q62" s="104">
        <f>SUMIFS('1 stopień 20_21'!$I$9:$I$773,'1 stopień 20_21'!$G$9:$G$773,D62,'1 stopień 20_21'!$K$9:$K$773,"CKZ Dobrodzień")</f>
        <v>0</v>
      </c>
      <c r="R62" s="104">
        <f>SUMIFS('1 stopień 20_21'!$I$9:$I$773,'1 stopień 20_21'!$G$9:$G$773,D62,'1 stopień 20_21'!$K$9:$K$773,"CKZ Głubczyce")</f>
        <v>0</v>
      </c>
      <c r="S62" s="104">
        <f>SUMIFS('1 stopień 20_21'!$I$9:$I$773,'1 stopień 20_21'!$G$9:$G$773,D62,'1 stopień 20_21'!$K$9:$K$773,"CKZ Kędzierzyn Kożle")</f>
        <v>0</v>
      </c>
      <c r="T62" s="104">
        <f>SUMIFS('1 stopień 20_21'!$I$9:$I$773,'1 stopień 20_21'!$G$9:$G$773,D62,'1 stopień 20_21'!$K$9:$K$773,"CKZ Kluczbork")</f>
        <v>0</v>
      </c>
      <c r="U62" s="104">
        <f>SUMIFS('1 stopień 20_21'!$I$9:$I$773,'1 stopień 20_21'!$G$9:$G$773,D62,'1 stopień 20_21'!$K$9:$K$773,"CKZ Krotoszyn")</f>
        <v>0</v>
      </c>
      <c r="V62" s="104">
        <f>SUMIFS('1 stopień 20_21'!$I$9:$I$773,'1 stopień 20_21'!$G$9:$G$773,D62,'1 stopień 20_21'!$K$9:$K$773,"CKZ Olkusz")</f>
        <v>0</v>
      </c>
      <c r="W62" s="104">
        <f>SUMIFS('1 stopień 20_21'!$I$9:$I$773,'1 stopień 20_21'!$G$9:$G$773,D62,'1 stopień 20_21'!$K$9:$K$773,"CKZ Wschowa")</f>
        <v>0</v>
      </c>
      <c r="X62" s="104">
        <f>SUMIFS('1 stopień 20_21'!$I$9:$I$773,'1 stopień 20_21'!$G$9:$G$773,D62,'1 stopień 20_21'!$K$9:$K$773,"CKZ Zielona Góra")</f>
        <v>1</v>
      </c>
      <c r="Y62" s="104">
        <f>SUMIFS('1 stopień 20_21'!$I$9:$I$773,'1 stopień 20_21'!$G$9:$G$773,D62,'1 stopień 20_21'!$K$9:$K$773,"Rzemieślnicza Wałbrzych")</f>
        <v>0</v>
      </c>
      <c r="Z62" s="104">
        <f>SUMIFS('1 stopień 20_21'!$I$9:$I$773,'1 stopień 20_21'!$G$9:$G$773,D62,'1 stopień 20_21'!$K$9:$K$773,"CKZ Mosina")</f>
        <v>0</v>
      </c>
      <c r="AA62" s="104">
        <f>SUMIFS('1 stopień 20_21'!$I$9:$I$773,'1 stopień 20_21'!$G$9:$G$773,D62,'1 stopień 20_21'!$K$9:$K$773,"CKZ Słupsk")</f>
        <v>0</v>
      </c>
      <c r="AB62" s="104">
        <f>SUMIFS('1 stopień 20_21'!$I$9:$I$773,'1 stopień 20_21'!$G$9:$G$773,D62,'1 stopień 20_21'!$K$9:$K$773,"Toyota")</f>
        <v>0</v>
      </c>
      <c r="AC62" s="104">
        <f>SUMIFS('1 stopień 20_21'!$I$9:$I$773,'1 stopień 20_21'!$G$9:$G$773,D62,'1 stopień 20_21'!$K$9:$K$773,"CKZ Wrocław")</f>
        <v>0</v>
      </c>
      <c r="AD62" s="104">
        <f>SUMIFS('1 stopień 20_21'!$I$9:$I$773,'1 stopień 20_21'!$G$9:$G$773,D62,'1 stopień 20_21'!$K$9:$K$773,"CKZ Opole")</f>
        <v>0</v>
      </c>
      <c r="AE62" s="104">
        <f>SUMIFS('1 stopień 20_21'!$I$9:$I$773,'1 stopień 20_21'!$G$9:$G$773,D62,'1 stopień 20_21'!$K$9:$K$773,"Chojnów")</f>
        <v>0</v>
      </c>
      <c r="AF62" s="104">
        <f>SUMIFS('1 stopień 20_21'!$I$9:$I$773,'1 stopień 20_21'!$G$9:$G$773,D62,'1 stopień 20_21'!$K$9:$K$773,"")</f>
        <v>0</v>
      </c>
      <c r="AG62" s="105">
        <f t="shared" si="1"/>
        <v>1</v>
      </c>
    </row>
    <row r="63" spans="2:33">
      <c r="B63" s="106" t="s">
        <v>632</v>
      </c>
      <c r="C63" s="107">
        <v>721104</v>
      </c>
      <c r="D63" s="107" t="s">
        <v>1384</v>
      </c>
      <c r="E63" s="106" t="s">
        <v>836</v>
      </c>
      <c r="F63" s="103">
        <f>SUMIF('1 stopień 20_21'!G$9:G$773,D63,'1 stopień 20_21'!I$9:I$773)</f>
        <v>0</v>
      </c>
      <c r="G63" s="104">
        <f>SUMIFS('1 stopień 20_21'!$I$9:$I$773,'1 stopień 20_21'!$G$9:$G$773,D63,'1 stopień 20_21'!$K$9:$K$773,"CKZ Bielawa")</f>
        <v>0</v>
      </c>
      <c r="H63" s="104">
        <f>SUMIFS('1 stopień 20_21'!$I$9:$I$773,'1 stopień 20_21'!$G$9:$G$773,D63,'1 stopień 20_21'!$K$9:$K$773,"GCKZ Głogów")</f>
        <v>0</v>
      </c>
      <c r="I63" s="104">
        <f>SUMIFS('1 stopień 20_21'!$I$9:$I$773,'1 stopień 20_21'!$G$9:$G$773,D63,'1 stopień 20_21'!$K$9:$K$773,"CKZ Jawor")</f>
        <v>0</v>
      </c>
      <c r="J63" s="104">
        <f>SUMIFS('1 stopień 20_21'!$I$9:$I$773,'1 stopień 20_21'!$G$9:$G$773,D63,'1 stopień 20_21'!$K$9:$K$773,"JCKZ Jelenia Góra")</f>
        <v>0</v>
      </c>
      <c r="K63" s="104">
        <f>SUMIFS('1 stopień 20_21'!$I$9:$I$773,'1 stopień 20_21'!$G$9:$G$773,D63,'1 stopień 20_21'!$K$9:$K$773,"CKZ Kłodzko")</f>
        <v>0</v>
      </c>
      <c r="L63" s="104">
        <f>SUMIFS('1 stopień 20_21'!$I$9:$I$773,'1 stopień 20_21'!$G$9:$G$773,D63,'1 stopień 20_21'!$K$9:$K$773,"CKZ Legnica")</f>
        <v>0</v>
      </c>
      <c r="M63" s="104">
        <f>SUMIFS('1 stopień 20_21'!$I$9:$I$773,'1 stopień 20_21'!$G$9:$G$773,D63,'1 stopień 20_21'!$K$9:$K$773,"CKZ Oleśnica")</f>
        <v>0</v>
      </c>
      <c r="N63" s="104">
        <f>SUMIFS('1 stopień 20_21'!$I$9:$I$773,'1 stopień 20_21'!$G$9:$G$773,D63,'1 stopień 20_21'!$K$9:$K$773,"CKZ Świdnica")</f>
        <v>0</v>
      </c>
      <c r="O63" s="104">
        <f>SUMIFS('1 stopień 20_21'!$I$9:$I$773,'1 stopień 20_21'!$G$9:$G$773,D63,'1 stopień 20_21'!$K$9:$K$773,"CKZ Wołów")</f>
        <v>0</v>
      </c>
      <c r="P63" s="104">
        <f>SUMIFS('1 stopień 20_21'!$I$9:$I$773,'1 stopień 20_21'!$G$9:$G$773,D63,'1 stopień 20_21'!$K$9:$K$773,"CKZ Ziębice")</f>
        <v>0</v>
      </c>
      <c r="Q63" s="104">
        <f>SUMIFS('1 stopień 20_21'!$I$9:$I$773,'1 stopień 20_21'!$G$9:$G$773,D63,'1 stopień 20_21'!$K$9:$K$773,"CKZ Dobrodzień")</f>
        <v>0</v>
      </c>
      <c r="R63" s="104">
        <f>SUMIFS('1 stopień 20_21'!$I$9:$I$773,'1 stopień 20_21'!$G$9:$G$773,D63,'1 stopień 20_21'!$K$9:$K$773,"CKZ Głubczyce")</f>
        <v>0</v>
      </c>
      <c r="S63" s="104">
        <f>SUMIFS('1 stopień 20_21'!$I$9:$I$773,'1 stopień 20_21'!$G$9:$G$773,D63,'1 stopień 20_21'!$K$9:$K$773,"CKZ Kędzierzyn Kożle")</f>
        <v>0</v>
      </c>
      <c r="T63" s="104">
        <f>SUMIFS('1 stopień 20_21'!$I$9:$I$773,'1 stopień 20_21'!$G$9:$G$773,D63,'1 stopień 20_21'!$K$9:$K$773,"CKZ Kluczbork")</f>
        <v>0</v>
      </c>
      <c r="U63" s="104">
        <f>SUMIFS('1 stopień 20_21'!$I$9:$I$773,'1 stopień 20_21'!$G$9:$G$773,D63,'1 stopień 20_21'!$K$9:$K$773,"CKZ Krotoszyn")</f>
        <v>0</v>
      </c>
      <c r="V63" s="104">
        <f>SUMIFS('1 stopień 20_21'!$I$9:$I$773,'1 stopień 20_21'!$G$9:$G$773,D63,'1 stopień 20_21'!$K$9:$K$773,"CKZ Olkusz")</f>
        <v>0</v>
      </c>
      <c r="W63" s="104">
        <f>SUMIFS('1 stopień 20_21'!$I$9:$I$773,'1 stopień 20_21'!$G$9:$G$773,D63,'1 stopień 20_21'!$K$9:$K$773,"CKZ Wschowa")</f>
        <v>0</v>
      </c>
      <c r="X63" s="104">
        <f>SUMIFS('1 stopień 20_21'!$I$9:$I$773,'1 stopień 20_21'!$G$9:$G$773,D63,'1 stopień 20_21'!$K$9:$K$773,"CKZ Zielona Góra")</f>
        <v>0</v>
      </c>
      <c r="Y63" s="104">
        <f>SUMIFS('1 stopień 20_21'!$I$9:$I$773,'1 stopień 20_21'!$G$9:$G$773,D63,'1 stopień 20_21'!$K$9:$K$773,"Rzemieślnicza Wałbrzych")</f>
        <v>0</v>
      </c>
      <c r="Z63" s="104">
        <f>SUMIFS('1 stopień 20_21'!$I$9:$I$773,'1 stopień 20_21'!$G$9:$G$773,D63,'1 stopień 20_21'!$K$9:$K$773,"CKZ Mosina")</f>
        <v>0</v>
      </c>
      <c r="AA63" s="104">
        <f>SUMIFS('1 stopień 20_21'!$I$9:$I$773,'1 stopień 20_21'!$G$9:$G$773,D63,'1 stopień 20_21'!$K$9:$K$773,"CKZ Słupsk")</f>
        <v>0</v>
      </c>
      <c r="AB63" s="104">
        <f>SUMIFS('1 stopień 20_21'!$I$9:$I$773,'1 stopień 20_21'!$G$9:$G$773,D63,'1 stopień 20_21'!$K$9:$K$773,"Toyota")</f>
        <v>0</v>
      </c>
      <c r="AC63" s="104">
        <f>SUMIFS('1 stopień 20_21'!$I$9:$I$773,'1 stopień 20_21'!$G$9:$G$773,D63,'1 stopień 20_21'!$K$9:$K$773,"CKZ Wrocław")</f>
        <v>0</v>
      </c>
      <c r="AD63" s="104">
        <f>SUMIFS('1 stopień 20_21'!$I$9:$I$773,'1 stopień 20_21'!$G$9:$G$773,D63,'1 stopień 20_21'!$K$9:$K$773,"CKZ Opole")</f>
        <v>0</v>
      </c>
      <c r="AE63" s="104">
        <f>SUMIFS('1 stopień 20_21'!$I$9:$I$773,'1 stopień 20_21'!$G$9:$G$773,D63,'1 stopień 20_21'!$K$9:$K$773,"Chojnów")</f>
        <v>0</v>
      </c>
      <c r="AF63" s="104">
        <f>SUMIFS('1 stopień 20_21'!$I$9:$I$773,'1 stopień 20_21'!$G$9:$G$773,D63,'1 stopień 20_21'!$K$9:$K$773,"")</f>
        <v>0</v>
      </c>
      <c r="AG63" s="105">
        <f t="shared" si="1"/>
        <v>0</v>
      </c>
    </row>
    <row r="64" spans="2:33">
      <c r="B64" s="106" t="s">
        <v>633</v>
      </c>
      <c r="C64" s="107">
        <v>812107</v>
      </c>
      <c r="D64" s="107" t="s">
        <v>1385</v>
      </c>
      <c r="E64" s="106" t="s">
        <v>834</v>
      </c>
      <c r="F64" s="103">
        <f>SUMIF('1 stopień 20_21'!G$9:G$773,D64,'1 stopień 20_21'!I$9:I$773)</f>
        <v>0</v>
      </c>
      <c r="G64" s="104">
        <f>SUMIFS('1 stopień 20_21'!$I$9:$I$773,'1 stopień 20_21'!$G$9:$G$773,D64,'1 stopień 20_21'!$K$9:$K$773,"CKZ Bielawa")</f>
        <v>0</v>
      </c>
      <c r="H64" s="104">
        <f>SUMIFS('1 stopień 20_21'!$I$9:$I$773,'1 stopień 20_21'!$G$9:$G$773,D64,'1 stopień 20_21'!$K$9:$K$773,"GCKZ Głogów")</f>
        <v>0</v>
      </c>
      <c r="I64" s="104">
        <f>SUMIFS('1 stopień 20_21'!$I$9:$I$773,'1 stopień 20_21'!$G$9:$G$773,D64,'1 stopień 20_21'!$K$9:$K$773,"CKZ Jawor")</f>
        <v>0</v>
      </c>
      <c r="J64" s="104">
        <f>SUMIFS('1 stopień 20_21'!$I$9:$I$773,'1 stopień 20_21'!$G$9:$G$773,D64,'1 stopień 20_21'!$K$9:$K$773,"JCKZ Jelenia Góra")</f>
        <v>0</v>
      </c>
      <c r="K64" s="104">
        <f>SUMIFS('1 stopień 20_21'!$I$9:$I$773,'1 stopień 20_21'!$G$9:$G$773,D64,'1 stopień 20_21'!$K$9:$K$773,"CKZ Kłodzko")</f>
        <v>0</v>
      </c>
      <c r="L64" s="104">
        <f>SUMIFS('1 stopień 20_21'!$I$9:$I$773,'1 stopień 20_21'!$G$9:$G$773,D64,'1 stopień 20_21'!$K$9:$K$773,"CKZ Legnica")</f>
        <v>0</v>
      </c>
      <c r="M64" s="104">
        <f>SUMIFS('1 stopień 20_21'!$I$9:$I$773,'1 stopień 20_21'!$G$9:$G$773,D64,'1 stopień 20_21'!$K$9:$K$773,"CKZ Oleśnica")</f>
        <v>0</v>
      </c>
      <c r="N64" s="104">
        <f>SUMIFS('1 stopień 20_21'!$I$9:$I$773,'1 stopień 20_21'!$G$9:$G$773,D64,'1 stopień 20_21'!$K$9:$K$773,"CKZ Świdnica")</f>
        <v>0</v>
      </c>
      <c r="O64" s="104">
        <f>SUMIFS('1 stopień 20_21'!$I$9:$I$773,'1 stopień 20_21'!$G$9:$G$773,D64,'1 stopień 20_21'!$K$9:$K$773,"CKZ Wołów")</f>
        <v>0</v>
      </c>
      <c r="P64" s="104">
        <f>SUMIFS('1 stopień 20_21'!$I$9:$I$773,'1 stopień 20_21'!$G$9:$G$773,D64,'1 stopień 20_21'!$K$9:$K$773,"CKZ Ziębice")</f>
        <v>0</v>
      </c>
      <c r="Q64" s="104">
        <f>SUMIFS('1 stopień 20_21'!$I$9:$I$773,'1 stopień 20_21'!$G$9:$G$773,D64,'1 stopień 20_21'!$K$9:$K$773,"CKZ Dobrodzień")</f>
        <v>0</v>
      </c>
      <c r="R64" s="104">
        <f>SUMIFS('1 stopień 20_21'!$I$9:$I$773,'1 stopień 20_21'!$G$9:$G$773,D64,'1 stopień 20_21'!$K$9:$K$773,"CKZ Głubczyce")</f>
        <v>0</v>
      </c>
      <c r="S64" s="104">
        <f>SUMIFS('1 stopień 20_21'!$I$9:$I$773,'1 stopień 20_21'!$G$9:$G$773,D64,'1 stopień 20_21'!$K$9:$K$773,"CKZ Kędzierzyn Kożle")</f>
        <v>0</v>
      </c>
      <c r="T64" s="104">
        <f>SUMIFS('1 stopień 20_21'!$I$9:$I$773,'1 stopień 20_21'!$G$9:$G$773,D64,'1 stopień 20_21'!$K$9:$K$773,"CKZ Kluczbork")</f>
        <v>0</v>
      </c>
      <c r="U64" s="104">
        <f>SUMIFS('1 stopień 20_21'!$I$9:$I$773,'1 stopień 20_21'!$G$9:$G$773,D64,'1 stopień 20_21'!$K$9:$K$773,"CKZ Krotoszyn")</f>
        <v>0</v>
      </c>
      <c r="V64" s="104">
        <f>SUMIFS('1 stopień 20_21'!$I$9:$I$773,'1 stopień 20_21'!$G$9:$G$773,D64,'1 stopień 20_21'!$K$9:$K$773,"CKZ Olkusz")</f>
        <v>0</v>
      </c>
      <c r="W64" s="104">
        <f>SUMIFS('1 stopień 20_21'!$I$9:$I$773,'1 stopień 20_21'!$G$9:$G$773,D64,'1 stopień 20_21'!$K$9:$K$773,"CKZ Wschowa")</f>
        <v>0</v>
      </c>
      <c r="X64" s="104">
        <f>SUMIFS('1 stopień 20_21'!$I$9:$I$773,'1 stopień 20_21'!$G$9:$G$773,D64,'1 stopień 20_21'!$K$9:$K$773,"CKZ Zielona Góra")</f>
        <v>0</v>
      </c>
      <c r="Y64" s="104">
        <f>SUMIFS('1 stopień 20_21'!$I$9:$I$773,'1 stopień 20_21'!$G$9:$G$773,D64,'1 stopień 20_21'!$K$9:$K$773,"Rzemieślnicza Wałbrzych")</f>
        <v>0</v>
      </c>
      <c r="Z64" s="104">
        <f>SUMIFS('1 stopień 20_21'!$I$9:$I$773,'1 stopień 20_21'!$G$9:$G$773,D64,'1 stopień 20_21'!$K$9:$K$773,"CKZ Mosina")</f>
        <v>0</v>
      </c>
      <c r="AA64" s="104">
        <f>SUMIFS('1 stopień 20_21'!$I$9:$I$773,'1 stopień 20_21'!$G$9:$G$773,D64,'1 stopień 20_21'!$K$9:$K$773,"CKZ Słupsk")</f>
        <v>0</v>
      </c>
      <c r="AB64" s="104">
        <f>SUMIFS('1 stopień 20_21'!$I$9:$I$773,'1 stopień 20_21'!$G$9:$G$773,D64,'1 stopień 20_21'!$K$9:$K$773,"Toyota")</f>
        <v>0</v>
      </c>
      <c r="AC64" s="104">
        <f>SUMIFS('1 stopień 20_21'!$I$9:$I$773,'1 stopień 20_21'!$G$9:$G$773,D64,'1 stopień 20_21'!$K$9:$K$773,"CKZ Wrocław")</f>
        <v>0</v>
      </c>
      <c r="AD64" s="104">
        <f>SUMIFS('1 stopień 20_21'!$I$9:$I$773,'1 stopień 20_21'!$G$9:$G$773,D64,'1 stopień 20_21'!$K$9:$K$773,"CKZ Opole")</f>
        <v>0</v>
      </c>
      <c r="AE64" s="104">
        <f>SUMIFS('1 stopień 20_21'!$I$9:$I$773,'1 stopień 20_21'!$G$9:$G$773,D64,'1 stopień 20_21'!$K$9:$K$773,"Chojnów")</f>
        <v>0</v>
      </c>
      <c r="AF64" s="104">
        <f>SUMIFS('1 stopień 20_21'!$I$9:$I$773,'1 stopień 20_21'!$G$9:$G$773,D64,'1 stopień 20_21'!$K$9:$K$773,"")</f>
        <v>0</v>
      </c>
      <c r="AG64" s="105">
        <f t="shared" si="1"/>
        <v>0</v>
      </c>
    </row>
    <row r="65" spans="2:33">
      <c r="B65" s="106" t="s">
        <v>634</v>
      </c>
      <c r="C65" s="107">
        <v>812122</v>
      </c>
      <c r="D65" s="107" t="s">
        <v>1386</v>
      </c>
      <c r="E65" s="106" t="s">
        <v>832</v>
      </c>
      <c r="F65" s="103">
        <f>SUMIF('1 stopień 20_21'!G$9:G$773,D65,'1 stopień 20_21'!I$9:I$773)</f>
        <v>0</v>
      </c>
      <c r="G65" s="104">
        <f>SUMIFS('1 stopień 20_21'!$I$9:$I$773,'1 stopień 20_21'!$G$9:$G$773,D65,'1 stopień 20_21'!$K$9:$K$773,"CKZ Bielawa")</f>
        <v>0</v>
      </c>
      <c r="H65" s="104">
        <f>SUMIFS('1 stopień 20_21'!$I$9:$I$773,'1 stopień 20_21'!$G$9:$G$773,D65,'1 stopień 20_21'!$K$9:$K$773,"GCKZ Głogów")</f>
        <v>0</v>
      </c>
      <c r="I65" s="104">
        <f>SUMIFS('1 stopień 20_21'!$I$9:$I$773,'1 stopień 20_21'!$G$9:$G$773,D65,'1 stopień 20_21'!$K$9:$K$773,"CKZ Jawor")</f>
        <v>0</v>
      </c>
      <c r="J65" s="104">
        <f>SUMIFS('1 stopień 20_21'!$I$9:$I$773,'1 stopień 20_21'!$G$9:$G$773,D65,'1 stopień 20_21'!$K$9:$K$773,"JCKZ Jelenia Góra")</f>
        <v>0</v>
      </c>
      <c r="K65" s="104">
        <f>SUMIFS('1 stopień 20_21'!$I$9:$I$773,'1 stopień 20_21'!$G$9:$G$773,D65,'1 stopień 20_21'!$K$9:$K$773,"CKZ Kłodzko")</f>
        <v>0</v>
      </c>
      <c r="L65" s="104">
        <f>SUMIFS('1 stopień 20_21'!$I$9:$I$773,'1 stopień 20_21'!$G$9:$G$773,D65,'1 stopień 20_21'!$K$9:$K$773,"CKZ Legnica")</f>
        <v>0</v>
      </c>
      <c r="M65" s="104">
        <f>SUMIFS('1 stopień 20_21'!$I$9:$I$773,'1 stopień 20_21'!$G$9:$G$773,D65,'1 stopień 20_21'!$K$9:$K$773,"CKZ Oleśnica")</f>
        <v>0</v>
      </c>
      <c r="N65" s="104">
        <f>SUMIFS('1 stopień 20_21'!$I$9:$I$773,'1 stopień 20_21'!$G$9:$G$773,D65,'1 stopień 20_21'!$K$9:$K$773,"CKZ Świdnica")</f>
        <v>0</v>
      </c>
      <c r="O65" s="104">
        <f>SUMIFS('1 stopień 20_21'!$I$9:$I$773,'1 stopień 20_21'!$G$9:$G$773,D65,'1 stopień 20_21'!$K$9:$K$773,"CKZ Wołów")</f>
        <v>0</v>
      </c>
      <c r="P65" s="104">
        <f>SUMIFS('1 stopień 20_21'!$I$9:$I$773,'1 stopień 20_21'!$G$9:$G$773,D65,'1 stopień 20_21'!$K$9:$K$773,"CKZ Ziębice")</f>
        <v>0</v>
      </c>
      <c r="Q65" s="104">
        <f>SUMIFS('1 stopień 20_21'!$I$9:$I$773,'1 stopień 20_21'!$G$9:$G$773,D65,'1 stopień 20_21'!$K$9:$K$773,"CKZ Dobrodzień")</f>
        <v>0</v>
      </c>
      <c r="R65" s="104">
        <f>SUMIFS('1 stopień 20_21'!$I$9:$I$773,'1 stopień 20_21'!$G$9:$G$773,D65,'1 stopień 20_21'!$K$9:$K$773,"CKZ Głubczyce")</f>
        <v>0</v>
      </c>
      <c r="S65" s="104">
        <f>SUMIFS('1 stopień 20_21'!$I$9:$I$773,'1 stopień 20_21'!$G$9:$G$773,D65,'1 stopień 20_21'!$K$9:$K$773,"CKZ Kędzierzyn Kożle")</f>
        <v>0</v>
      </c>
      <c r="T65" s="104">
        <f>SUMIFS('1 stopień 20_21'!$I$9:$I$773,'1 stopień 20_21'!$G$9:$G$773,D65,'1 stopień 20_21'!$K$9:$K$773,"CKZ Kluczbork")</f>
        <v>0</v>
      </c>
      <c r="U65" s="104">
        <f>SUMIFS('1 stopień 20_21'!$I$9:$I$773,'1 stopień 20_21'!$G$9:$G$773,D65,'1 stopień 20_21'!$K$9:$K$773,"CKZ Krotoszyn")</f>
        <v>0</v>
      </c>
      <c r="V65" s="104">
        <f>SUMIFS('1 stopień 20_21'!$I$9:$I$773,'1 stopień 20_21'!$G$9:$G$773,D65,'1 stopień 20_21'!$K$9:$K$773,"CKZ Olkusz")</f>
        <v>0</v>
      </c>
      <c r="W65" s="104">
        <f>SUMIFS('1 stopień 20_21'!$I$9:$I$773,'1 stopień 20_21'!$G$9:$G$773,D65,'1 stopień 20_21'!$K$9:$K$773,"CKZ Wschowa")</f>
        <v>0</v>
      </c>
      <c r="X65" s="104">
        <f>SUMIFS('1 stopień 20_21'!$I$9:$I$773,'1 stopień 20_21'!$G$9:$G$773,D65,'1 stopień 20_21'!$K$9:$K$773,"CKZ Zielona Góra")</f>
        <v>0</v>
      </c>
      <c r="Y65" s="104">
        <f>SUMIFS('1 stopień 20_21'!$I$9:$I$773,'1 stopień 20_21'!$G$9:$G$773,D65,'1 stopień 20_21'!$K$9:$K$773,"Rzemieślnicza Wałbrzych")</f>
        <v>0</v>
      </c>
      <c r="Z65" s="104">
        <f>SUMIFS('1 stopień 20_21'!$I$9:$I$773,'1 stopień 20_21'!$G$9:$G$773,D65,'1 stopień 20_21'!$K$9:$K$773,"CKZ Mosina")</f>
        <v>0</v>
      </c>
      <c r="AA65" s="104">
        <f>SUMIFS('1 stopień 20_21'!$I$9:$I$773,'1 stopień 20_21'!$G$9:$G$773,D65,'1 stopień 20_21'!$K$9:$K$773,"CKZ Słupsk")</f>
        <v>0</v>
      </c>
      <c r="AB65" s="104">
        <f>SUMIFS('1 stopień 20_21'!$I$9:$I$773,'1 stopień 20_21'!$G$9:$G$773,D65,'1 stopień 20_21'!$K$9:$K$773,"Toyota")</f>
        <v>0</v>
      </c>
      <c r="AC65" s="104">
        <f>SUMIFS('1 stopień 20_21'!$I$9:$I$773,'1 stopień 20_21'!$G$9:$G$773,D65,'1 stopień 20_21'!$K$9:$K$773,"CKZ Wrocław")</f>
        <v>0</v>
      </c>
      <c r="AD65" s="104">
        <f>SUMIFS('1 stopień 20_21'!$I$9:$I$773,'1 stopień 20_21'!$G$9:$G$773,D65,'1 stopień 20_21'!$K$9:$K$773,"CKZ Opole")</f>
        <v>0</v>
      </c>
      <c r="AE65" s="104">
        <f>SUMIFS('1 stopień 20_21'!$I$9:$I$773,'1 stopień 20_21'!$G$9:$G$773,D65,'1 stopień 20_21'!$K$9:$K$773,"Chojnów")</f>
        <v>0</v>
      </c>
      <c r="AF65" s="104">
        <f>SUMIFS('1 stopień 20_21'!$I$9:$I$773,'1 stopień 20_21'!$G$9:$G$773,D65,'1 stopień 20_21'!$K$9:$K$773,"")</f>
        <v>0</v>
      </c>
      <c r="AG65" s="105">
        <f t="shared" si="1"/>
        <v>0</v>
      </c>
    </row>
    <row r="66" spans="2:33">
      <c r="B66" s="106" t="s">
        <v>85</v>
      </c>
      <c r="C66" s="107">
        <v>721306</v>
      </c>
      <c r="D66" s="107" t="s">
        <v>63</v>
      </c>
      <c r="E66" s="106" t="s">
        <v>830</v>
      </c>
      <c r="F66" s="103">
        <f>SUMIF('1 stopień 20_21'!G$9:G$773,D66,'1 stopień 20_21'!I$9:I$773)</f>
        <v>18</v>
      </c>
      <c r="G66" s="104">
        <f>SUMIFS('1 stopień 20_21'!$I$9:$I$773,'1 stopień 20_21'!$G$9:$G$773,D66,'1 stopień 20_21'!$K$9:$K$773,"CKZ Bielawa")</f>
        <v>0</v>
      </c>
      <c r="H66" s="104">
        <f>SUMIFS('1 stopień 20_21'!$I$9:$I$773,'1 stopień 20_21'!$G$9:$G$773,D66,'1 stopień 20_21'!$K$9:$K$773,"GCKZ Głogów")</f>
        <v>0</v>
      </c>
      <c r="I66" s="104">
        <f>SUMIFS('1 stopień 20_21'!$I$9:$I$773,'1 stopień 20_21'!$G$9:$G$773,D66,'1 stopień 20_21'!$K$9:$K$773,"CKZ Jawor")</f>
        <v>0</v>
      </c>
      <c r="J66" s="104">
        <f>SUMIFS('1 stopień 20_21'!$I$9:$I$773,'1 stopień 20_21'!$G$9:$G$773,D66,'1 stopień 20_21'!$K$9:$K$773,"JCKZ Jelenia Góra")</f>
        <v>0</v>
      </c>
      <c r="K66" s="104">
        <f>SUMIFS('1 stopień 20_21'!$I$9:$I$773,'1 stopień 20_21'!$G$9:$G$773,D66,'1 stopień 20_21'!$K$9:$K$773,"CKZ Kłodzko")</f>
        <v>0</v>
      </c>
      <c r="L66" s="104">
        <f>SUMIFS('1 stopień 20_21'!$I$9:$I$773,'1 stopień 20_21'!$G$9:$G$773,D66,'1 stopień 20_21'!$K$9:$K$773,"CKZ Legnica")</f>
        <v>0</v>
      </c>
      <c r="M66" s="104">
        <f>SUMIFS('1 stopień 20_21'!$I$9:$I$773,'1 stopień 20_21'!$G$9:$G$773,D66,'1 stopień 20_21'!$K$9:$K$773,"CKZ Oleśnica")</f>
        <v>0</v>
      </c>
      <c r="N66" s="104">
        <f>SUMIFS('1 stopień 20_21'!$I$9:$I$773,'1 stopień 20_21'!$G$9:$G$773,D66,'1 stopień 20_21'!$K$9:$K$773,"CKZ Świdnica")</f>
        <v>16</v>
      </c>
      <c r="O66" s="104">
        <f>SUMIFS('1 stopień 20_21'!$I$9:$I$773,'1 stopień 20_21'!$G$9:$G$773,D66,'1 stopień 20_21'!$K$9:$K$773,"CKZ Wołów")</f>
        <v>0</v>
      </c>
      <c r="P66" s="104">
        <f>SUMIFS('1 stopień 20_21'!$I$9:$I$773,'1 stopień 20_21'!$G$9:$G$773,D66,'1 stopień 20_21'!$K$9:$K$773,"CKZ Ziębice")</f>
        <v>0</v>
      </c>
      <c r="Q66" s="104">
        <f>SUMIFS('1 stopień 20_21'!$I$9:$I$773,'1 stopień 20_21'!$G$9:$G$773,D66,'1 stopień 20_21'!$K$9:$K$773,"CKZ Dobrodzień")</f>
        <v>0</v>
      </c>
      <c r="R66" s="104">
        <f>SUMIFS('1 stopień 20_21'!$I$9:$I$773,'1 stopień 20_21'!$G$9:$G$773,D66,'1 stopień 20_21'!$K$9:$K$773,"CKZ Głubczyce")</f>
        <v>0</v>
      </c>
      <c r="S66" s="104">
        <f>SUMIFS('1 stopień 20_21'!$I$9:$I$773,'1 stopień 20_21'!$G$9:$G$773,D66,'1 stopień 20_21'!$K$9:$K$773,"CKZ Kędzierzyn Kożle")</f>
        <v>0</v>
      </c>
      <c r="T66" s="104">
        <f>SUMIFS('1 stopień 20_21'!$I$9:$I$773,'1 stopień 20_21'!$G$9:$G$773,D66,'1 stopień 20_21'!$K$9:$K$773,"CKZ Kluczbork")</f>
        <v>0</v>
      </c>
      <c r="U66" s="104">
        <f>SUMIFS('1 stopień 20_21'!$I$9:$I$773,'1 stopień 20_21'!$G$9:$G$773,D66,'1 stopień 20_21'!$K$9:$K$773,"CKZ Krotoszyn")</f>
        <v>0</v>
      </c>
      <c r="V66" s="104">
        <f>SUMIFS('1 stopień 20_21'!$I$9:$I$773,'1 stopień 20_21'!$G$9:$G$773,D66,'1 stopień 20_21'!$K$9:$K$773,"CKZ Olkusz")</f>
        <v>0</v>
      </c>
      <c r="W66" s="104">
        <f>SUMIFS('1 stopień 20_21'!$I$9:$I$773,'1 stopień 20_21'!$G$9:$G$773,D66,'1 stopień 20_21'!$K$9:$K$773,"CKZ Wschowa")</f>
        <v>2</v>
      </c>
      <c r="X66" s="104">
        <f>SUMIFS('1 stopień 20_21'!$I$9:$I$773,'1 stopień 20_21'!$G$9:$G$773,D66,'1 stopień 20_21'!$K$9:$K$773,"CKZ Zielona Góra")</f>
        <v>0</v>
      </c>
      <c r="Y66" s="104">
        <f>SUMIFS('1 stopień 20_21'!$I$9:$I$773,'1 stopień 20_21'!$G$9:$G$773,D66,'1 stopień 20_21'!$K$9:$K$773,"Rzemieślnicza Wałbrzych")</f>
        <v>0</v>
      </c>
      <c r="Z66" s="104">
        <f>SUMIFS('1 stopień 20_21'!$I$9:$I$773,'1 stopień 20_21'!$G$9:$G$773,D66,'1 stopień 20_21'!$K$9:$K$773,"CKZ Mosina")</f>
        <v>0</v>
      </c>
      <c r="AA66" s="104">
        <f>SUMIFS('1 stopień 20_21'!$I$9:$I$773,'1 stopień 20_21'!$G$9:$G$773,D66,'1 stopień 20_21'!$K$9:$K$773,"CKZ Słupsk")</f>
        <v>0</v>
      </c>
      <c r="AB66" s="104">
        <f>SUMIFS('1 stopień 20_21'!$I$9:$I$773,'1 stopień 20_21'!$G$9:$G$773,D66,'1 stopień 20_21'!$K$9:$K$773,"Toyota")</f>
        <v>0</v>
      </c>
      <c r="AC66" s="104">
        <f>SUMIFS('1 stopień 20_21'!$I$9:$I$773,'1 stopień 20_21'!$G$9:$G$773,D66,'1 stopień 20_21'!$K$9:$K$773,"CKZ Wrocław")</f>
        <v>0</v>
      </c>
      <c r="AD66" s="104">
        <f>SUMIFS('1 stopień 20_21'!$I$9:$I$773,'1 stopień 20_21'!$G$9:$G$773,D66,'1 stopień 20_21'!$K$9:$K$773,"CKZ Opole")</f>
        <v>0</v>
      </c>
      <c r="AE66" s="104">
        <f>SUMIFS('1 stopień 20_21'!$I$9:$I$773,'1 stopień 20_21'!$G$9:$G$773,D66,'1 stopień 20_21'!$K$9:$K$773,"Chojnów")</f>
        <v>0</v>
      </c>
      <c r="AF66" s="104">
        <f>SUMIFS('1 stopień 20_21'!$I$9:$I$773,'1 stopień 20_21'!$G$9:$G$773,D66,'1 stopień 20_21'!$K$9:$K$773,"")</f>
        <v>0</v>
      </c>
      <c r="AG66" s="105">
        <f t="shared" si="1"/>
        <v>18</v>
      </c>
    </row>
    <row r="67" spans="2:33" ht="13.5" customHeight="1">
      <c r="B67" s="106" t="s">
        <v>78</v>
      </c>
      <c r="C67" s="107">
        <v>741203</v>
      </c>
      <c r="D67" s="107" t="s">
        <v>64</v>
      </c>
      <c r="E67" s="106" t="s">
        <v>828</v>
      </c>
      <c r="F67" s="103">
        <f>SUMIF('1 stopień 20_21'!G$9:G$773,D67,'1 stopień 20_21'!I$9:I$773)</f>
        <v>47</v>
      </c>
      <c r="G67" s="104">
        <f>SUMIFS('1 stopień 20_21'!$I$9:$I$773,'1 stopień 20_21'!$G$9:$G$773,D67,'1 stopień 20_21'!$K$9:$K$773,"CKZ Bielawa")</f>
        <v>0</v>
      </c>
      <c r="H67" s="104">
        <f>SUMIFS('1 stopień 20_21'!$I$9:$I$773,'1 stopień 20_21'!$G$9:$G$773,D67,'1 stopień 20_21'!$K$9:$K$773,"GCKZ Głogów")</f>
        <v>0</v>
      </c>
      <c r="I67" s="104">
        <f>SUMIFS('1 stopień 20_21'!$I$9:$I$773,'1 stopień 20_21'!$G$9:$G$773,D67,'1 stopień 20_21'!$K$9:$K$773,"CKZ Jawor")</f>
        <v>0</v>
      </c>
      <c r="J67" s="104">
        <f>SUMIFS('1 stopień 20_21'!$I$9:$I$773,'1 stopień 20_21'!$G$9:$G$773,D67,'1 stopień 20_21'!$K$9:$K$773,"JCKZ Jelenia Góra")</f>
        <v>0</v>
      </c>
      <c r="K67" s="104">
        <f>SUMIFS('1 stopień 20_21'!$I$9:$I$773,'1 stopień 20_21'!$G$9:$G$773,D67,'1 stopień 20_21'!$K$9:$K$773,"CKZ Kłodzko")</f>
        <v>0</v>
      </c>
      <c r="L67" s="104">
        <f>SUMIFS('1 stopień 20_21'!$I$9:$I$773,'1 stopień 20_21'!$G$9:$G$773,D67,'1 stopień 20_21'!$K$9:$K$773,"CKZ Legnica")</f>
        <v>0</v>
      </c>
      <c r="M67" s="104">
        <f>SUMIFS('1 stopień 20_21'!$I$9:$I$773,'1 stopień 20_21'!$G$9:$G$773,D67,'1 stopień 20_21'!$K$9:$K$773,"CKZ Oleśnica")</f>
        <v>0</v>
      </c>
      <c r="N67" s="104">
        <f>SUMIFS('1 stopień 20_21'!$I$9:$I$773,'1 stopień 20_21'!$G$9:$G$773,D67,'1 stopień 20_21'!$K$9:$K$773,"CKZ Świdnica")</f>
        <v>45</v>
      </c>
      <c r="O67" s="104">
        <f>SUMIFS('1 stopień 20_21'!$I$9:$I$773,'1 stopień 20_21'!$G$9:$G$773,D67,'1 stopień 20_21'!$K$9:$K$773,"CKZ Wołów")</f>
        <v>0</v>
      </c>
      <c r="P67" s="104">
        <f>SUMIFS('1 stopień 20_21'!$I$9:$I$773,'1 stopień 20_21'!$G$9:$G$773,D67,'1 stopień 20_21'!$K$9:$K$773,"CKZ Ziębice")</f>
        <v>0</v>
      </c>
      <c r="Q67" s="104">
        <f>SUMIFS('1 stopień 20_21'!$I$9:$I$773,'1 stopień 20_21'!$G$9:$G$773,D67,'1 stopień 20_21'!$K$9:$K$773,"CKZ Dobrodzień")</f>
        <v>0</v>
      </c>
      <c r="R67" s="104">
        <f>SUMIFS('1 stopień 20_21'!$I$9:$I$773,'1 stopień 20_21'!$G$9:$G$773,D67,'1 stopień 20_21'!$K$9:$K$773,"CKZ Głubczyce")</f>
        <v>0</v>
      </c>
      <c r="S67" s="104">
        <f>SUMIFS('1 stopień 20_21'!$I$9:$I$773,'1 stopień 20_21'!$G$9:$G$773,D67,'1 stopień 20_21'!$K$9:$K$773,"CKZ Kędzierzyn Kożle")</f>
        <v>0</v>
      </c>
      <c r="T67" s="104">
        <f>SUMIFS('1 stopień 20_21'!$I$9:$I$773,'1 stopień 20_21'!$G$9:$G$773,D67,'1 stopień 20_21'!$K$9:$K$773,"CKZ Kluczbork")</f>
        <v>0</v>
      </c>
      <c r="U67" s="104">
        <f>SUMIFS('1 stopień 20_21'!$I$9:$I$773,'1 stopień 20_21'!$G$9:$G$773,D67,'1 stopień 20_21'!$K$9:$K$773,"CKZ Krotoszyn")</f>
        <v>0</v>
      </c>
      <c r="V67" s="104">
        <f>SUMIFS('1 stopień 20_21'!$I$9:$I$773,'1 stopień 20_21'!$G$9:$G$773,D67,'1 stopień 20_21'!$K$9:$K$773,"CKZ Olkusz")</f>
        <v>0</v>
      </c>
      <c r="W67" s="104">
        <f>SUMIFS('1 stopień 20_21'!$I$9:$I$773,'1 stopień 20_21'!$G$9:$G$773,D67,'1 stopień 20_21'!$K$9:$K$773,"CKZ Wschowa")</f>
        <v>2</v>
      </c>
      <c r="X67" s="104">
        <f>SUMIFS('1 stopień 20_21'!$I$9:$I$773,'1 stopień 20_21'!$G$9:$G$773,D67,'1 stopień 20_21'!$K$9:$K$773,"CKZ Zielona Góra")</f>
        <v>0</v>
      </c>
      <c r="Y67" s="104">
        <f>SUMIFS('1 stopień 20_21'!$I$9:$I$773,'1 stopień 20_21'!$G$9:$G$773,D67,'1 stopień 20_21'!$K$9:$K$773,"Rzemieślnicza Wałbrzych")</f>
        <v>0</v>
      </c>
      <c r="Z67" s="104">
        <f>SUMIFS('1 stopień 20_21'!$I$9:$I$773,'1 stopień 20_21'!$G$9:$G$773,D67,'1 stopień 20_21'!$K$9:$K$773,"CKZ Mosina")</f>
        <v>0</v>
      </c>
      <c r="AA67" s="104">
        <f>SUMIFS('1 stopień 20_21'!$I$9:$I$773,'1 stopień 20_21'!$G$9:$G$773,D67,'1 stopień 20_21'!$K$9:$K$773,"CKZ Słupsk")</f>
        <v>0</v>
      </c>
      <c r="AB67" s="104">
        <f>SUMIFS('1 stopień 20_21'!$I$9:$I$773,'1 stopień 20_21'!$G$9:$G$773,D67,'1 stopień 20_21'!$K$9:$K$773,"Toyota")</f>
        <v>0</v>
      </c>
      <c r="AC67" s="104">
        <f>SUMIFS('1 stopień 20_21'!$I$9:$I$773,'1 stopień 20_21'!$G$9:$G$773,D67,'1 stopień 20_21'!$K$9:$K$773,"CKZ Wrocław")</f>
        <v>0</v>
      </c>
      <c r="AD67" s="104">
        <f>SUMIFS('1 stopień 20_21'!$I$9:$I$773,'1 stopień 20_21'!$G$9:$G$773,D67,'1 stopień 20_21'!$K$9:$K$773,"CKZ Opole")</f>
        <v>0</v>
      </c>
      <c r="AE67" s="104">
        <f>SUMIFS('1 stopień 20_21'!$I$9:$I$773,'1 stopień 20_21'!$G$9:$G$773,D67,'1 stopień 20_21'!$K$9:$K$773,"Chojnów")</f>
        <v>0</v>
      </c>
      <c r="AF67" s="104">
        <f>SUMIFS('1 stopień 20_21'!$I$9:$I$773,'1 stopień 20_21'!$G$9:$G$773,D67,'1 stopień 20_21'!$K$9:$K$773,"")</f>
        <v>0</v>
      </c>
      <c r="AG67" s="105">
        <f t="shared" si="1"/>
        <v>47</v>
      </c>
    </row>
    <row r="68" spans="2:33">
      <c r="B68" s="106" t="s">
        <v>240</v>
      </c>
      <c r="C68" s="107">
        <v>713203</v>
      </c>
      <c r="D68" s="107" t="s">
        <v>66</v>
      </c>
      <c r="E68" s="106" t="s">
        <v>826</v>
      </c>
      <c r="F68" s="103">
        <f>SUMIF('1 stopień 20_21'!G$9:G$773,D68,'1 stopień 20_21'!I$9:I$773)</f>
        <v>51</v>
      </c>
      <c r="G68" s="104">
        <f>SUMIFS('1 stopień 20_21'!$I$9:$I$773,'1 stopień 20_21'!$G$9:$G$773,D68,'1 stopień 20_21'!$K$9:$K$773,"CKZ Bielawa")</f>
        <v>0</v>
      </c>
      <c r="H68" s="104">
        <f>SUMIFS('1 stopień 20_21'!$I$9:$I$773,'1 stopień 20_21'!$G$9:$G$773,D68,'1 stopień 20_21'!$K$9:$K$773,"GCKZ Głogów")</f>
        <v>0</v>
      </c>
      <c r="I68" s="104">
        <f>SUMIFS('1 stopień 20_21'!$I$9:$I$773,'1 stopień 20_21'!$G$9:$G$773,D68,'1 stopień 20_21'!$K$9:$K$773,"CKZ Jawor")</f>
        <v>0</v>
      </c>
      <c r="J68" s="104">
        <f>SUMIFS('1 stopień 20_21'!$I$9:$I$773,'1 stopień 20_21'!$G$9:$G$773,D68,'1 stopień 20_21'!$K$9:$K$773,"JCKZ Jelenia Góra")</f>
        <v>0</v>
      </c>
      <c r="K68" s="104">
        <f>SUMIFS('1 stopień 20_21'!$I$9:$I$773,'1 stopień 20_21'!$G$9:$G$773,D68,'1 stopień 20_21'!$K$9:$K$773,"CKZ Kłodzko")</f>
        <v>0</v>
      </c>
      <c r="L68" s="104">
        <f>SUMIFS('1 stopień 20_21'!$I$9:$I$773,'1 stopień 20_21'!$G$9:$G$773,D68,'1 stopień 20_21'!$K$9:$K$773,"CKZ Legnica")</f>
        <v>0</v>
      </c>
      <c r="M68" s="104">
        <f>SUMIFS('1 stopień 20_21'!$I$9:$I$773,'1 stopień 20_21'!$G$9:$G$773,D68,'1 stopień 20_21'!$K$9:$K$773,"CKZ Oleśnica")</f>
        <v>0</v>
      </c>
      <c r="N68" s="104">
        <f>SUMIFS('1 stopień 20_21'!$I$9:$I$773,'1 stopień 20_21'!$G$9:$G$773,D68,'1 stopień 20_21'!$K$9:$K$773,"CKZ Świdnica")</f>
        <v>39</v>
      </c>
      <c r="O68" s="104">
        <f>SUMIFS('1 stopień 20_21'!$I$9:$I$773,'1 stopień 20_21'!$G$9:$G$773,D68,'1 stopień 20_21'!$K$9:$K$773,"CKZ Wołów")</f>
        <v>0</v>
      </c>
      <c r="P68" s="104">
        <f>SUMIFS('1 stopień 20_21'!$I$9:$I$773,'1 stopień 20_21'!$G$9:$G$773,D68,'1 stopień 20_21'!$K$9:$K$773,"CKZ Ziębice")</f>
        <v>0</v>
      </c>
      <c r="Q68" s="104">
        <f>SUMIFS('1 stopień 20_21'!$I$9:$I$773,'1 stopień 20_21'!$G$9:$G$773,D68,'1 stopień 20_21'!$K$9:$K$773,"CKZ Dobrodzień")</f>
        <v>0</v>
      </c>
      <c r="R68" s="104">
        <f>SUMIFS('1 stopień 20_21'!$I$9:$I$773,'1 stopień 20_21'!$G$9:$G$773,D68,'1 stopień 20_21'!$K$9:$K$773,"CKZ Głubczyce")</f>
        <v>0</v>
      </c>
      <c r="S68" s="104">
        <f>SUMIFS('1 stopień 20_21'!$I$9:$I$773,'1 stopień 20_21'!$G$9:$G$773,D68,'1 stopień 20_21'!$K$9:$K$773,"CKZ Kędzierzyn Kożle")</f>
        <v>0</v>
      </c>
      <c r="T68" s="104">
        <f>SUMIFS('1 stopień 20_21'!$I$9:$I$773,'1 stopień 20_21'!$G$9:$G$773,D68,'1 stopień 20_21'!$K$9:$K$773,"CKZ Kluczbork")</f>
        <v>0</v>
      </c>
      <c r="U68" s="104">
        <f>SUMIFS('1 stopień 20_21'!$I$9:$I$773,'1 stopień 20_21'!$G$9:$G$773,D68,'1 stopień 20_21'!$K$9:$K$773,"CKZ Krotoszyn")</f>
        <v>0</v>
      </c>
      <c r="V68" s="104">
        <f>SUMIFS('1 stopień 20_21'!$I$9:$I$773,'1 stopień 20_21'!$G$9:$G$773,D68,'1 stopień 20_21'!$K$9:$K$773,"CKZ Olkusz")</f>
        <v>0</v>
      </c>
      <c r="W68" s="104">
        <f>SUMIFS('1 stopień 20_21'!$I$9:$I$773,'1 stopień 20_21'!$G$9:$G$773,D68,'1 stopień 20_21'!$K$9:$K$773,"CKZ Wschowa")</f>
        <v>4</v>
      </c>
      <c r="X68" s="104">
        <f>SUMIFS('1 stopień 20_21'!$I$9:$I$773,'1 stopień 20_21'!$G$9:$G$773,D68,'1 stopień 20_21'!$K$9:$K$773,"CKZ Zielona Góra")</f>
        <v>7</v>
      </c>
      <c r="Y68" s="104">
        <f>SUMIFS('1 stopień 20_21'!$I$9:$I$773,'1 stopień 20_21'!$G$9:$G$773,O68,'1 stopień 20_21'!$K$9:$K$773,"Rzemieślnicza Wałbrzych")</f>
        <v>0</v>
      </c>
      <c r="Z68" s="104">
        <f>SUMIFS('1 stopień 20_21'!$I$9:$I$773,'1 stopień 20_21'!$G$9:$G$773,D68,'1 stopień 20_21'!$K$9:$K$773,"CKZ Mosina")</f>
        <v>0</v>
      </c>
      <c r="AA68" s="104">
        <f>SUMIFS('1 stopień 20_21'!$I$9:$I$773,'1 stopień 20_21'!$G$9:$G$773,D68,'1 stopień 20_21'!$K$9:$K$773,"CKZ Słupsk")</f>
        <v>0</v>
      </c>
      <c r="AB68" s="104">
        <f>SUMIFS('1 stopień 20_21'!$I$9:$I$773,'1 stopień 20_21'!$G$9:$G$773,D68,'1 stopień 20_21'!$K$9:$K$773,"Toyota")</f>
        <v>0</v>
      </c>
      <c r="AC68" s="104">
        <f>SUMIFS('1 stopień 20_21'!$I$9:$I$773,'1 stopień 20_21'!$G$9:$G$773,D68,'1 stopień 20_21'!$K$9:$K$773,"CKZ Wrocław")</f>
        <v>0</v>
      </c>
      <c r="AD68" s="104">
        <f>SUMIFS('1 stopień 20_21'!$I$9:$I$773,'1 stopień 20_21'!$G$9:$G$773,D68,'1 stopień 20_21'!$K$9:$K$773,"CKZ Opole")</f>
        <v>1</v>
      </c>
      <c r="AE68" s="104">
        <f>SUMIFS('1 stopień 20_21'!$I$9:$I$773,'1 stopień 20_21'!$G$9:$G$773,D68,'1 stopień 20_21'!$K$9:$K$773,"Chojnów")</f>
        <v>0</v>
      </c>
      <c r="AF68" s="104">
        <f>SUMIFS('1 stopień 20_21'!$I$9:$I$773,'1 stopień 20_21'!$G$9:$G$773,D68,'1 stopień 20_21'!$K$9:$K$773,"")</f>
        <v>0</v>
      </c>
      <c r="AG68" s="105">
        <f t="shared" si="1"/>
        <v>51</v>
      </c>
    </row>
    <row r="69" spans="2:33">
      <c r="B69" s="106" t="s">
        <v>635</v>
      </c>
      <c r="C69" s="107">
        <v>723107</v>
      </c>
      <c r="D69" s="107" t="s">
        <v>1387</v>
      </c>
      <c r="E69" s="106" t="s">
        <v>824</v>
      </c>
      <c r="F69" s="103">
        <f>SUMIF('1 stopień 20_21'!G$9:G$773,D69,'1 stopień 20_21'!I$9:I$773)</f>
        <v>0</v>
      </c>
      <c r="G69" s="104">
        <f>SUMIFS('1 stopień 20_21'!$I$9:$I$773,'1 stopień 20_21'!$G$9:$G$773,D69,'1 stopień 20_21'!$K$9:$K$773,"CKZ Bielawa")</f>
        <v>0</v>
      </c>
      <c r="H69" s="104">
        <f>SUMIFS('1 stopień 20_21'!$I$9:$I$773,'1 stopień 20_21'!$G$9:$G$773,D69,'1 stopień 20_21'!$K$9:$K$773,"GCKZ Głogów")</f>
        <v>0</v>
      </c>
      <c r="I69" s="104">
        <f>SUMIFS('1 stopień 20_21'!$I$9:$I$773,'1 stopień 20_21'!$G$9:$G$773,D69,'1 stopień 20_21'!$K$9:$K$773,"CKZ Jawor")</f>
        <v>0</v>
      </c>
      <c r="J69" s="104">
        <f>SUMIFS('1 stopień 20_21'!$I$9:$I$773,'1 stopień 20_21'!$G$9:$G$773,D69,'1 stopień 20_21'!$K$9:$K$773,"JCKZ Jelenia Góra")</f>
        <v>0</v>
      </c>
      <c r="K69" s="104">
        <f>SUMIFS('1 stopień 20_21'!$I$9:$I$773,'1 stopień 20_21'!$G$9:$G$773,D69,'1 stopień 20_21'!$K$9:$K$773,"CKZ Kłodzko")</f>
        <v>0</v>
      </c>
      <c r="L69" s="104">
        <f>SUMIFS('1 stopień 20_21'!$I$9:$I$773,'1 stopień 20_21'!$G$9:$G$773,D69,'1 stopień 20_21'!$K$9:$K$773,"CKZ Legnica")</f>
        <v>0</v>
      </c>
      <c r="M69" s="104">
        <f>SUMIFS('1 stopień 20_21'!$I$9:$I$773,'1 stopień 20_21'!$G$9:$G$773,D69,'1 stopień 20_21'!$K$9:$K$773,"CKZ Oleśnica")</f>
        <v>0</v>
      </c>
      <c r="N69" s="104">
        <f>SUMIFS('1 stopień 20_21'!$I$9:$I$773,'1 stopień 20_21'!$G$9:$G$773,D69,'1 stopień 20_21'!$K$9:$K$773,"CKZ Świdnica")</f>
        <v>0</v>
      </c>
      <c r="O69" s="104">
        <f>SUMIFS('1 stopień 20_21'!$I$9:$I$773,'1 stopień 20_21'!$G$9:$G$773,D69,'1 stopień 20_21'!$K$9:$K$773,"CKZ Wołów")</f>
        <v>0</v>
      </c>
      <c r="P69" s="104">
        <f>SUMIFS('1 stopień 20_21'!$I$9:$I$773,'1 stopień 20_21'!$G$9:$G$773,D69,'1 stopień 20_21'!$K$9:$K$773,"CKZ Ziębice")</f>
        <v>0</v>
      </c>
      <c r="Q69" s="104">
        <f>SUMIFS('1 stopień 20_21'!$I$9:$I$773,'1 stopień 20_21'!$G$9:$G$773,D69,'1 stopień 20_21'!$K$9:$K$773,"CKZ Dobrodzień")</f>
        <v>0</v>
      </c>
      <c r="R69" s="104">
        <f>SUMIFS('1 stopień 20_21'!$I$9:$I$773,'1 stopień 20_21'!$G$9:$G$773,D69,'1 stopień 20_21'!$K$9:$K$773,"CKZ Głubczyce")</f>
        <v>0</v>
      </c>
      <c r="S69" s="104">
        <f>SUMIFS('1 stopień 20_21'!$I$9:$I$773,'1 stopień 20_21'!$G$9:$G$773,D69,'1 stopień 20_21'!$K$9:$K$773,"CKZ Kędzierzyn Kożle")</f>
        <v>0</v>
      </c>
      <c r="T69" s="104">
        <f>SUMIFS('1 stopień 20_21'!$I$9:$I$773,'1 stopień 20_21'!$G$9:$G$773,D69,'1 stopień 20_21'!$K$9:$K$773,"CKZ Kluczbork")</f>
        <v>0</v>
      </c>
      <c r="U69" s="104">
        <f>SUMIFS('1 stopień 20_21'!$I$9:$I$773,'1 stopień 20_21'!$G$9:$G$773,D69,'1 stopień 20_21'!$K$9:$K$773,"CKZ Krotoszyn")</f>
        <v>0</v>
      </c>
      <c r="V69" s="104">
        <f>SUMIFS('1 stopień 20_21'!$I$9:$I$773,'1 stopień 20_21'!$G$9:$G$773,D69,'1 stopień 20_21'!$K$9:$K$773,"CKZ Olkusz")</f>
        <v>0</v>
      </c>
      <c r="W69" s="104">
        <f>SUMIFS('1 stopień 20_21'!$I$9:$I$773,'1 stopień 20_21'!$G$9:$G$773,D69,'1 stopień 20_21'!$K$9:$K$773,"CKZ Wschowa")</f>
        <v>0</v>
      </c>
      <c r="X69" s="104">
        <f>SUMIFS('1 stopień 20_21'!$I$9:$I$773,'1 stopień 20_21'!$G$9:$G$773,D69,'1 stopień 20_21'!$K$9:$K$773,"CKZ Zielona Góra")</f>
        <v>0</v>
      </c>
      <c r="Y69" s="104">
        <f>SUMIFS('1 stopień 20_21'!$I$9:$I$773,'1 stopień 20_21'!$G$9:$G$773,D69,'1 stopień 20_21'!$K$9:$K$773,"Rzemieślnicza Wałbrzych")</f>
        <v>0</v>
      </c>
      <c r="Z69" s="104">
        <f>SUMIFS('1 stopień 20_21'!$I$9:$I$773,'1 stopień 20_21'!$G$9:$G$773,D69,'1 stopień 20_21'!$K$9:$K$773,"CKZ Mosina")</f>
        <v>0</v>
      </c>
      <c r="AA69" s="104">
        <f>SUMIFS('1 stopień 20_21'!$I$9:$I$773,'1 stopień 20_21'!$G$9:$G$773,D69,'1 stopień 20_21'!$K$9:$K$773,"CKZ Słupsk")</f>
        <v>0</v>
      </c>
      <c r="AB69" s="104">
        <f>SUMIFS('1 stopień 20_21'!$I$9:$I$773,'1 stopień 20_21'!$G$9:$G$773,D69,'1 stopień 20_21'!$K$9:$K$773,"Toyota")</f>
        <v>0</v>
      </c>
      <c r="AC69" s="104">
        <f>SUMIFS('1 stopień 20_21'!$I$9:$I$773,'1 stopień 20_21'!$G$9:$G$773,D69,'1 stopień 20_21'!$K$9:$K$773,"CKZ Wrocław")</f>
        <v>0</v>
      </c>
      <c r="AD69" s="104">
        <f>SUMIFS('1 stopień 20_21'!$I$9:$I$773,'1 stopień 20_21'!$G$9:$G$773,D69,'1 stopień 20_21'!$K$9:$K$773,"CKZ Opole")</f>
        <v>0</v>
      </c>
      <c r="AE69" s="104">
        <f>SUMIFS('1 stopień 20_21'!$I$9:$I$773,'1 stopień 20_21'!$G$9:$G$773,D69,'1 stopień 20_21'!$K$9:$K$773,"Chojnów")</f>
        <v>0</v>
      </c>
      <c r="AF69" s="104">
        <f>SUMIFS('1 stopień 20_21'!$I$9:$I$773,'1 stopień 20_21'!$G$9:$G$773,D69,'1 stopień 20_21'!$K$9:$K$773,"")</f>
        <v>0</v>
      </c>
      <c r="AG69" s="105">
        <f t="shared" si="1"/>
        <v>0</v>
      </c>
    </row>
    <row r="70" spans="2:33">
      <c r="B70" s="106" t="s">
        <v>74</v>
      </c>
      <c r="C70" s="107">
        <v>723103</v>
      </c>
      <c r="D70" s="107" t="s">
        <v>75</v>
      </c>
      <c r="E70" s="106" t="s">
        <v>822</v>
      </c>
      <c r="F70" s="103">
        <f>SUMIF('1 stopień 20_21'!G$9:G$773,D70,'1 stopień 20_21'!I$9:I$773)</f>
        <v>395</v>
      </c>
      <c r="G70" s="104">
        <f>SUMIFS('1 stopień 20_21'!$I$9:$I$773,'1 stopień 20_21'!$G$9:$G$773,D70,'1 stopień 20_21'!$K$9:$K$773,"CKZ Bielawa")</f>
        <v>32</v>
      </c>
      <c r="H70" s="104">
        <f>SUMIFS('1 stopień 20_21'!$I$9:$I$773,'1 stopień 20_21'!$G$9:$G$773,D70,'1 stopień 20_21'!$K$9:$K$773,"GCKZ Głogów")</f>
        <v>46</v>
      </c>
      <c r="I70" s="104">
        <f>SUMIFS('1 stopień 20_21'!$I$9:$I$773,'1 stopień 20_21'!$G$9:$G$773,D70,'1 stopień 20_21'!$K$9:$K$773,"CKZ Jawor")</f>
        <v>0</v>
      </c>
      <c r="J70" s="104">
        <f>SUMIFS('1 stopień 20_21'!$I$9:$I$773,'1 stopień 20_21'!$G$9:$G$773,D70,'1 stopień 20_21'!$K$9:$K$773,"JCKZ Jelenia Góra")</f>
        <v>48</v>
      </c>
      <c r="K70" s="104">
        <f>SUMIFS('1 stopień 20_21'!$I$9:$I$773,'1 stopień 20_21'!$G$9:$G$773,D70,'1 stopień 20_21'!$K$9:$K$773,"CKZ Kłodzko")</f>
        <v>39</v>
      </c>
      <c r="L70" s="104">
        <f>SUMIFS('1 stopień 20_21'!$I$9:$I$773,'1 stopień 20_21'!$G$9:$G$773,D70,'1 stopień 20_21'!$K$9:$K$773,"CKZ Legnica")</f>
        <v>0</v>
      </c>
      <c r="M70" s="104">
        <f>SUMIFS('1 stopień 20_21'!$I$9:$I$773,'1 stopień 20_21'!$G$9:$G$773,D70,'1 stopień 20_21'!$K$9:$K$773,"CKZ Oleśnica")</f>
        <v>30</v>
      </c>
      <c r="N70" s="104">
        <f>SUMIFS('1 stopień 20_21'!$I$9:$I$773,'1 stopień 20_21'!$G$9:$G$773,D70,'1 stopień 20_21'!$K$9:$K$773,"CKZ Świdnica")</f>
        <v>65</v>
      </c>
      <c r="O70" s="104">
        <f>SUMIFS('1 stopień 20_21'!$I$9:$I$773,'1 stopień 20_21'!$G$9:$G$773,D70,'1 stopień 20_21'!$K$9:$K$773,"CKZ Wołów")</f>
        <v>45</v>
      </c>
      <c r="P70" s="104">
        <f>SUMIFS('1 stopień 20_21'!$I$9:$I$773,'1 stopień 20_21'!$G$9:$G$773,D70,'1 stopień 20_21'!$K$9:$K$773,"CKZ Ziębice")</f>
        <v>36</v>
      </c>
      <c r="Q70" s="104">
        <f>SUMIFS('1 stopień 20_21'!$I$9:$I$773,'1 stopień 20_21'!$G$9:$G$773,D70,'1 stopień 20_21'!$K$9:$K$773,"CKZ Dobrodzień")</f>
        <v>0</v>
      </c>
      <c r="R70" s="104">
        <f>SUMIFS('1 stopień 20_21'!$I$9:$I$773,'1 stopień 20_21'!$G$9:$G$773,D70,'1 stopień 20_21'!$K$9:$K$773,"CKZ Głubczyce")</f>
        <v>0</v>
      </c>
      <c r="S70" s="104">
        <f>SUMIFS('1 stopień 20_21'!$I$9:$I$773,'1 stopień 20_21'!$G$9:$G$773,D70,'1 stopień 20_21'!$K$9:$K$773,"CKZ Kędzierzyn Kożle")</f>
        <v>0</v>
      </c>
      <c r="T70" s="104">
        <f>SUMIFS('1 stopień 20_21'!$I$9:$I$773,'1 stopień 20_21'!$G$9:$G$773,D70,'1 stopień 20_21'!$K$9:$K$773,"CKZ Kluczbork")</f>
        <v>0</v>
      </c>
      <c r="U70" s="104">
        <f>SUMIFS('1 stopień 20_21'!$I$9:$I$773,'1 stopień 20_21'!$G$9:$G$773,D70,'1 stopień 20_21'!$K$9:$K$773,"CKZ Krotoszyn")</f>
        <v>0</v>
      </c>
      <c r="V70" s="104">
        <f>SUMIFS('1 stopień 20_21'!$I$9:$I$773,'1 stopień 20_21'!$G$9:$G$773,D70,'1 stopień 20_21'!$K$9:$K$773,"CKZ Olkusz")</f>
        <v>0</v>
      </c>
      <c r="W70" s="104">
        <f>SUMIFS('1 stopień 20_21'!$I$9:$I$773,'1 stopień 20_21'!$G$9:$G$773,D70,'1 stopień 20_21'!$K$9:$K$773,"CKZ Wschowa")</f>
        <v>0</v>
      </c>
      <c r="X70" s="104">
        <f>SUMIFS('1 stopień 20_21'!$I$9:$I$773,'1 stopień 20_21'!$G$9:$G$773,D70,'1 stopień 20_21'!$K$9:$K$773,"CKZ Zielona Góra")</f>
        <v>0</v>
      </c>
      <c r="Y70" s="104">
        <f>SUMIFS('1 stopień 20_21'!$I$9:$I$773,'1 stopień 20_21'!$G$9:$G$773,D70,'1 stopień 20_21'!$K$9:$K$773,"Rzemieślnicza Wałbrzych")</f>
        <v>22</v>
      </c>
      <c r="Z70" s="104">
        <f>SUMIFS('1 stopień 20_21'!$I$9:$I$773,'1 stopień 20_21'!$G$9:$G$773,D70,'1 stopień 20_21'!$K$9:$K$773,"CKZ Mosina")</f>
        <v>0</v>
      </c>
      <c r="AA70" s="104">
        <f>SUMIFS('1 stopień 20_21'!$I$9:$I$773,'1 stopień 20_21'!$G$9:$G$773,D70,'1 stopień 20_21'!$K$9:$K$773,"CKZ Słupsk")</f>
        <v>0</v>
      </c>
      <c r="AB70" s="104">
        <f>SUMIFS('1 stopień 20_21'!$I$9:$I$773,'1 stopień 20_21'!$G$9:$G$773,D70,'1 stopień 20_21'!$K$9:$K$773,"Toyota")</f>
        <v>0</v>
      </c>
      <c r="AC70" s="104">
        <f>SUMIFS('1 stopień 20_21'!$I$9:$I$773,'1 stopień 20_21'!$G$9:$G$773,D70,'1 stopień 20_21'!$K$9:$K$773,"CKZ Wrocław")</f>
        <v>31</v>
      </c>
      <c r="AD70" s="104">
        <f>SUMIFS('1 stopień 20_21'!$I$9:$I$773,'1 stopień 20_21'!$G$9:$G$773,D70,'1 stopień 20_21'!$K$9:$K$773,"CKZ Opole")</f>
        <v>1</v>
      </c>
      <c r="AE70" s="104">
        <f>SUMIFS('1 stopień 20_21'!$I$9:$I$773,'1 stopień 20_21'!$G$9:$G$773,D70,'1 stopień 20_21'!$K$9:$K$773,"Chojnów")</f>
        <v>0</v>
      </c>
      <c r="AF70" s="104">
        <f>SUMIFS('1 stopień 20_21'!$I$9:$I$773,'1 stopień 20_21'!$G$9:$G$773,D70,'1 stopień 20_21'!$K$9:$K$773,"")</f>
        <v>0</v>
      </c>
      <c r="AG70" s="105">
        <f t="shared" ref="AG70:AG100" si="2">SUM(G70:AF70)</f>
        <v>395</v>
      </c>
    </row>
    <row r="71" spans="2:33">
      <c r="B71" s="106" t="s">
        <v>636</v>
      </c>
      <c r="C71" s="107">
        <v>611303</v>
      </c>
      <c r="D71" s="107" t="s">
        <v>551</v>
      </c>
      <c r="E71" s="106" t="s">
        <v>820</v>
      </c>
      <c r="F71" s="103">
        <f>SUMIF('1 stopień 20_21'!G$9:G$773,D71,'1 stopień 20_21'!I$9:I$773)</f>
        <v>3</v>
      </c>
      <c r="G71" s="104">
        <f>SUMIFS('1 stopień 20_21'!$I$9:$I$773,'1 stopień 20_21'!$G$9:$G$773,D71,'1 stopień 20_21'!$K$9:$K$773,"CKZ Bielawa")</f>
        <v>0</v>
      </c>
      <c r="H71" s="104">
        <f>SUMIFS('1 stopień 20_21'!$I$9:$I$773,'1 stopień 20_21'!$G$9:$G$773,D71,'1 stopień 20_21'!$K$9:$K$773,"GCKZ Głogów")</f>
        <v>0</v>
      </c>
      <c r="I71" s="104">
        <f>SUMIFS('1 stopień 20_21'!$I$9:$I$773,'1 stopień 20_21'!$G$9:$G$773,D71,'1 stopień 20_21'!$K$9:$K$773,"CKZ Jawor")</f>
        <v>0</v>
      </c>
      <c r="J71" s="104">
        <f>SUMIFS('1 stopień 20_21'!$I$9:$I$773,'1 stopień 20_21'!$G$9:$G$773,D71,'1 stopień 20_21'!$K$9:$K$773,"JCKZ Jelenia Góra")</f>
        <v>0</v>
      </c>
      <c r="K71" s="104">
        <f>SUMIFS('1 stopień 20_21'!$I$9:$I$773,'1 stopień 20_21'!$G$9:$G$773,D71,'1 stopień 20_21'!$K$9:$K$773,"CKZ Kłodzko")</f>
        <v>0</v>
      </c>
      <c r="L71" s="104">
        <f>SUMIFS('1 stopień 20_21'!$I$9:$I$773,'1 stopień 20_21'!$G$9:$G$773,D71,'1 stopień 20_21'!$K$9:$K$773,"CKZ Legnica")</f>
        <v>0</v>
      </c>
      <c r="M71" s="104">
        <f>SUMIFS('1 stopień 20_21'!$I$9:$I$773,'1 stopień 20_21'!$G$9:$G$773,D71,'1 stopień 20_21'!$K$9:$K$773,"CKZ Oleśnica")</f>
        <v>0</v>
      </c>
      <c r="N71" s="104">
        <f>SUMIFS('1 stopień 20_21'!$I$9:$I$773,'1 stopień 20_21'!$G$9:$G$773,D71,'1 stopień 20_21'!$K$9:$K$773,"CKZ Świdnica")</f>
        <v>0</v>
      </c>
      <c r="O71" s="104">
        <f>SUMIFS('1 stopień 20_21'!$I$9:$I$773,'1 stopień 20_21'!$G$9:$G$773,D71,'1 stopień 20_21'!$K$9:$K$773,"CKZ Wołów")</f>
        <v>0</v>
      </c>
      <c r="P71" s="104">
        <f>SUMIFS('1 stopień 20_21'!$I$9:$I$773,'1 stopień 20_21'!$G$9:$G$773,D71,'1 stopień 20_21'!$K$9:$K$773,"CKZ Ziębice")</f>
        <v>0</v>
      </c>
      <c r="Q71" s="104">
        <f>SUMIFS('1 stopień 20_21'!$I$9:$I$773,'1 stopień 20_21'!$G$9:$G$773,D71,'1 stopień 20_21'!$K$9:$K$773,"CKZ Dobrodzień")</f>
        <v>0</v>
      </c>
      <c r="R71" s="104">
        <f>SUMIFS('1 stopień 20_21'!$I$9:$I$773,'1 stopień 20_21'!$G$9:$G$773,D71,'1 stopień 20_21'!$K$9:$K$773,"CKZ Głubczyce")</f>
        <v>0</v>
      </c>
      <c r="S71" s="104">
        <f>SUMIFS('1 stopień 20_21'!$I$9:$I$773,'1 stopień 20_21'!$G$9:$G$773,D71,'1 stopień 20_21'!$K$9:$K$773,"CKZ Kędzierzyn Kożle")</f>
        <v>0</v>
      </c>
      <c r="T71" s="104">
        <f>SUMIFS('1 stopień 20_21'!$I$9:$I$773,'1 stopień 20_21'!$G$9:$G$773,D71,'1 stopień 20_21'!$K$9:$K$773,"CKZ Kluczbork")</f>
        <v>0</v>
      </c>
      <c r="U71" s="104">
        <f>SUMIFS('1 stopień 20_21'!$I$9:$I$773,'1 stopień 20_21'!$G$9:$G$773,D71,'1 stopień 20_21'!$K$9:$K$773,"CKZ Krotoszyn")</f>
        <v>0</v>
      </c>
      <c r="V71" s="104">
        <f>SUMIFS('1 stopień 20_21'!$I$9:$I$773,'1 stopień 20_21'!$G$9:$G$773,D71,'1 stopień 20_21'!$K$9:$K$773,"CKZ Olkusz")</f>
        <v>0</v>
      </c>
      <c r="W71" s="104">
        <f>SUMIFS('1 stopień 20_21'!$I$9:$I$773,'1 stopień 20_21'!$G$9:$G$773,D71,'1 stopień 20_21'!$K$9:$K$773,"CKZ Wschowa")</f>
        <v>0</v>
      </c>
      <c r="X71" s="104">
        <f>SUMIFS('1 stopień 20_21'!$I$9:$I$773,'1 stopień 20_21'!$G$9:$G$773,D71,'1 stopień 20_21'!$K$9:$K$773,"CKZ Zielona Góra")</f>
        <v>3</v>
      </c>
      <c r="Y71" s="104">
        <f>SUMIFS('1 stopień 20_21'!$I$9:$I$773,'1 stopień 20_21'!$G$9:$G$773,D71,'1 stopień 20_21'!$K$9:$K$773,"Rzemieślnicza Wałbrzych")</f>
        <v>0</v>
      </c>
      <c r="Z71" s="104">
        <f>SUMIFS('1 stopień 20_21'!$I$9:$I$773,'1 stopień 20_21'!$G$9:$G$773,D71,'1 stopień 20_21'!$K$9:$K$773,"CKZ Mosina")</f>
        <v>0</v>
      </c>
      <c r="AA71" s="104">
        <f>SUMIFS('1 stopień 20_21'!$I$9:$I$773,'1 stopień 20_21'!$G$9:$G$773,D71,'1 stopień 20_21'!$K$9:$K$773,"CKZ Słupsk")</f>
        <v>0</v>
      </c>
      <c r="AB71" s="104">
        <f>SUMIFS('1 stopień 20_21'!$I$9:$I$773,'1 stopień 20_21'!$G$9:$G$773,D71,'1 stopień 20_21'!$K$9:$K$773,"Toyota")</f>
        <v>0</v>
      </c>
      <c r="AC71" s="104">
        <f>SUMIFS('1 stopień 20_21'!$I$9:$I$773,'1 stopień 20_21'!$G$9:$G$773,D71,'1 stopień 20_21'!$K$9:$K$773,"CKZ Wrocław")</f>
        <v>0</v>
      </c>
      <c r="AD71" s="104">
        <f>SUMIFS('1 stopień 20_21'!$I$9:$I$773,'1 stopień 20_21'!$G$9:$G$773,D71,'1 stopień 20_21'!$K$9:$K$773,"CKZ Opole")</f>
        <v>0</v>
      </c>
      <c r="AE71" s="104">
        <f>SUMIFS('1 stopień 20_21'!$I$9:$I$773,'1 stopień 20_21'!$G$9:$G$773,D71,'1 stopień 20_21'!$K$9:$K$773,"Chojnów")</f>
        <v>0</v>
      </c>
      <c r="AF71" s="104">
        <f>SUMIFS('1 stopień 20_21'!$I$9:$I$773,'1 stopień 20_21'!$G$9:$G$773,D71,'1 stopień 20_21'!$K$9:$K$773,"")</f>
        <v>0</v>
      </c>
      <c r="AG71" s="105">
        <f t="shared" si="2"/>
        <v>3</v>
      </c>
    </row>
    <row r="72" spans="2:33">
      <c r="B72" s="106" t="s">
        <v>637</v>
      </c>
      <c r="C72" s="107">
        <v>732209</v>
      </c>
      <c r="D72" s="107" t="s">
        <v>1388</v>
      </c>
      <c r="E72" s="106" t="s">
        <v>818</v>
      </c>
      <c r="F72" s="103">
        <f>SUMIF('1 stopień 20_21'!G$9:G$773,D72,'1 stopień 20_21'!I$9:I$773)</f>
        <v>0</v>
      </c>
      <c r="G72" s="104">
        <f>SUMIFS('1 stopień 20_21'!$I$9:$I$773,'1 stopień 20_21'!$G$9:$G$773,D72,'1 stopień 20_21'!$K$9:$K$773,"CKZ Bielawa")</f>
        <v>0</v>
      </c>
      <c r="H72" s="104">
        <f>SUMIFS('1 stopień 20_21'!$I$9:$I$773,'1 stopień 20_21'!$G$9:$G$773,D72,'1 stopień 20_21'!$K$9:$K$773,"GCKZ Głogów")</f>
        <v>0</v>
      </c>
      <c r="I72" s="104">
        <f>SUMIFS('1 stopień 20_21'!$I$9:$I$773,'1 stopień 20_21'!$G$9:$G$773,D72,'1 stopień 20_21'!$K$9:$K$773,"CKZ Jawor")</f>
        <v>0</v>
      </c>
      <c r="J72" s="104">
        <f>SUMIFS('1 stopień 20_21'!$I$9:$I$773,'1 stopień 20_21'!$G$9:$G$773,D72,'1 stopień 20_21'!$K$9:$K$773,"JCKZ Jelenia Góra")</f>
        <v>0</v>
      </c>
      <c r="K72" s="104">
        <f>SUMIFS('1 stopień 20_21'!$I$9:$I$773,'1 stopień 20_21'!$G$9:$G$773,D72,'1 stopień 20_21'!$K$9:$K$773,"CKZ Kłodzko")</f>
        <v>0</v>
      </c>
      <c r="L72" s="104">
        <f>SUMIFS('1 stopień 20_21'!$I$9:$I$773,'1 stopień 20_21'!$G$9:$G$773,D72,'1 stopień 20_21'!$K$9:$K$773,"CKZ Legnica")</f>
        <v>0</v>
      </c>
      <c r="M72" s="104">
        <f>SUMIFS('1 stopień 20_21'!$I$9:$I$773,'1 stopień 20_21'!$G$9:$G$773,D72,'1 stopień 20_21'!$K$9:$K$773,"CKZ Oleśnica")</f>
        <v>0</v>
      </c>
      <c r="N72" s="104">
        <f>SUMIFS('1 stopień 20_21'!$I$9:$I$773,'1 stopień 20_21'!$G$9:$G$773,D72,'1 stopień 20_21'!$K$9:$K$773,"CKZ Świdnica")</f>
        <v>0</v>
      </c>
      <c r="O72" s="104">
        <f>SUMIFS('1 stopień 20_21'!$I$9:$I$773,'1 stopień 20_21'!$G$9:$G$773,D72,'1 stopień 20_21'!$K$9:$K$773,"CKZ Wołów")</f>
        <v>0</v>
      </c>
      <c r="P72" s="104">
        <f>SUMIFS('1 stopień 20_21'!$I$9:$I$773,'1 stopień 20_21'!$G$9:$G$773,D72,'1 stopień 20_21'!$K$9:$K$773,"CKZ Ziębice")</f>
        <v>0</v>
      </c>
      <c r="Q72" s="104">
        <f>SUMIFS('1 stopień 20_21'!$I$9:$I$773,'1 stopień 20_21'!$G$9:$G$773,D72,'1 stopień 20_21'!$K$9:$K$773,"CKZ Dobrodzień")</f>
        <v>0</v>
      </c>
      <c r="R72" s="104">
        <f>SUMIFS('1 stopień 20_21'!$I$9:$I$773,'1 stopień 20_21'!$G$9:$G$773,D72,'1 stopień 20_21'!$K$9:$K$773,"CKZ Głubczyce")</f>
        <v>0</v>
      </c>
      <c r="S72" s="104">
        <f>SUMIFS('1 stopień 20_21'!$I$9:$I$773,'1 stopień 20_21'!$G$9:$G$773,D72,'1 stopień 20_21'!$K$9:$K$773,"CKZ Kędzierzyn Kożle")</f>
        <v>0</v>
      </c>
      <c r="T72" s="104">
        <f>SUMIFS('1 stopień 20_21'!$I$9:$I$773,'1 stopień 20_21'!$G$9:$G$773,D72,'1 stopień 20_21'!$K$9:$K$773,"CKZ Kluczbork")</f>
        <v>0</v>
      </c>
      <c r="U72" s="104">
        <f>SUMIFS('1 stopień 20_21'!$I$9:$I$773,'1 stopień 20_21'!$G$9:$G$773,D72,'1 stopień 20_21'!$K$9:$K$773,"CKZ Krotoszyn")</f>
        <v>0</v>
      </c>
      <c r="V72" s="104">
        <f>SUMIFS('1 stopień 20_21'!$I$9:$I$773,'1 stopień 20_21'!$G$9:$G$773,D72,'1 stopień 20_21'!$K$9:$K$773,"CKZ Olkusz")</f>
        <v>0</v>
      </c>
      <c r="W72" s="104">
        <f>SUMIFS('1 stopień 20_21'!$I$9:$I$773,'1 stopień 20_21'!$G$9:$G$773,D72,'1 stopień 20_21'!$K$9:$K$773,"CKZ Wschowa")</f>
        <v>0</v>
      </c>
      <c r="X72" s="104">
        <f>SUMIFS('1 stopień 20_21'!$I$9:$I$773,'1 stopień 20_21'!$G$9:$G$773,D72,'1 stopień 20_21'!$K$9:$K$773,"CKZ Zielona Góra")</f>
        <v>0</v>
      </c>
      <c r="Y72" s="104">
        <f>SUMIFS('1 stopień 20_21'!$I$9:$I$773,'1 stopień 20_21'!$G$9:$G$773,D72,'1 stopień 20_21'!$K$9:$K$773,"Rzemieślnicza Wałbrzych")</f>
        <v>0</v>
      </c>
      <c r="Z72" s="104">
        <f>SUMIFS('1 stopień 20_21'!$I$9:$I$773,'1 stopień 20_21'!$G$9:$G$773,D72,'1 stopień 20_21'!$K$9:$K$773,"CKZ Mosina")</f>
        <v>0</v>
      </c>
      <c r="AA72" s="104">
        <f>SUMIFS('1 stopień 20_21'!$I$9:$I$773,'1 stopień 20_21'!$G$9:$G$773,D72,'1 stopień 20_21'!$K$9:$K$773,"CKZ Słupsk")</f>
        <v>0</v>
      </c>
      <c r="AB72" s="104">
        <f>SUMIFS('1 stopień 20_21'!$I$9:$I$773,'1 stopień 20_21'!$G$9:$G$773,D72,'1 stopień 20_21'!$K$9:$K$773,"Toyota")</f>
        <v>0</v>
      </c>
      <c r="AC72" s="104">
        <f>SUMIFS('1 stopień 20_21'!$I$9:$I$773,'1 stopień 20_21'!$G$9:$G$773,D72,'1 stopień 20_21'!$K$9:$K$773,"CKZ Wrocław")</f>
        <v>0</v>
      </c>
      <c r="AD72" s="104">
        <f>SUMIFS('1 stopień 20_21'!$I$9:$I$773,'1 stopień 20_21'!$G$9:$G$773,D72,'1 stopień 20_21'!$K$9:$K$773,"CKZ Opole")</f>
        <v>0</v>
      </c>
      <c r="AE72" s="104">
        <f>SUMIFS('1 stopień 20_21'!$I$9:$I$773,'1 stopień 20_21'!$G$9:$G$773,D72,'1 stopień 20_21'!$K$9:$K$773,"Chojnów")</f>
        <v>0</v>
      </c>
      <c r="AF72" s="104">
        <f>SUMIFS('1 stopień 20_21'!$I$9:$I$773,'1 stopień 20_21'!$G$9:$G$773,D72,'1 stopień 20_21'!$K$9:$K$773,"")</f>
        <v>0</v>
      </c>
      <c r="AG72" s="105">
        <f t="shared" si="2"/>
        <v>0</v>
      </c>
    </row>
    <row r="73" spans="2:33">
      <c r="B73" s="106" t="s">
        <v>524</v>
      </c>
      <c r="C73" s="107">
        <v>732210</v>
      </c>
      <c r="D73" s="107" t="s">
        <v>858</v>
      </c>
      <c r="E73" s="106" t="s">
        <v>816</v>
      </c>
      <c r="F73" s="103">
        <f>SUMIF('1 stopień 20_21'!G$9:G$773,D73,'1 stopień 20_21'!I$9:I$773)</f>
        <v>1</v>
      </c>
      <c r="G73" s="104">
        <f>SUMIFS('1 stopień 20_21'!$I$9:$I$773,'1 stopień 20_21'!$G$9:$G$773,D73,'1 stopień 20_21'!$K$9:$K$773,"CKZ Bielawa")</f>
        <v>0</v>
      </c>
      <c r="H73" s="104">
        <f>SUMIFS('1 stopień 20_21'!$I$9:$I$773,'1 stopień 20_21'!$G$9:$G$773,D73,'1 stopień 20_21'!$K$9:$K$773,"GCKZ Głogów")</f>
        <v>0</v>
      </c>
      <c r="I73" s="104">
        <f>SUMIFS('1 stopień 20_21'!$I$9:$I$773,'1 stopień 20_21'!$G$9:$G$773,D73,'1 stopień 20_21'!$K$9:$K$773,"CKZ Jawor")</f>
        <v>0</v>
      </c>
      <c r="J73" s="104">
        <f>SUMIFS('1 stopień 20_21'!$I$9:$I$773,'1 stopień 20_21'!$G$9:$G$773,D73,'1 stopień 20_21'!$K$9:$K$773,"JCKZ Jelenia Góra")</f>
        <v>0</v>
      </c>
      <c r="K73" s="104">
        <f>SUMIFS('1 stopień 20_21'!$I$9:$I$773,'1 stopień 20_21'!$G$9:$G$773,D73,'1 stopień 20_21'!$K$9:$K$773,"CKZ Kłodzko")</f>
        <v>0</v>
      </c>
      <c r="L73" s="104">
        <f>SUMIFS('1 stopień 20_21'!$I$9:$I$773,'1 stopień 20_21'!$G$9:$G$773,D73,'1 stopień 20_21'!$K$9:$K$773,"CKZ Legnica")</f>
        <v>0</v>
      </c>
      <c r="M73" s="104">
        <f>SUMIFS('1 stopień 20_21'!$I$9:$I$773,'1 stopień 20_21'!$G$9:$G$773,D73,'1 stopień 20_21'!$K$9:$K$773,"CKZ Oleśnica")</f>
        <v>0</v>
      </c>
      <c r="N73" s="104">
        <f>SUMIFS('1 stopień 20_21'!$I$9:$I$773,'1 stopień 20_21'!$G$9:$G$773,D73,'1 stopień 20_21'!$K$9:$K$773,"CKZ Świdnica")</f>
        <v>0</v>
      </c>
      <c r="O73" s="104">
        <f>SUMIFS('1 stopień 20_21'!$I$9:$I$773,'1 stopień 20_21'!$G$9:$G$773,D73,'1 stopień 20_21'!$K$9:$K$773,"CKZ Wołów")</f>
        <v>0</v>
      </c>
      <c r="P73" s="104">
        <f>SUMIFS('1 stopień 20_21'!$I$9:$I$773,'1 stopień 20_21'!$G$9:$G$773,D73,'1 stopień 20_21'!$K$9:$K$773,"CKZ Ziębice")</f>
        <v>0</v>
      </c>
      <c r="Q73" s="104">
        <f>SUMIFS('1 stopień 20_21'!$I$9:$I$773,'1 stopień 20_21'!$G$9:$G$773,D73,'1 stopień 20_21'!$K$9:$K$773,"CKZ Dobrodzień")</f>
        <v>0</v>
      </c>
      <c r="R73" s="104">
        <f>SUMIFS('1 stopień 20_21'!$I$9:$I$773,'1 stopień 20_21'!$G$9:$G$773,D73,'1 stopień 20_21'!$K$9:$K$773,"CKZ Głubczyce")</f>
        <v>0</v>
      </c>
      <c r="S73" s="104">
        <f>SUMIFS('1 stopień 20_21'!$I$9:$I$773,'1 stopień 20_21'!$G$9:$G$773,D73,'1 stopień 20_21'!$K$9:$K$773,"CKZ Kędzierzyn Kożle")</f>
        <v>0</v>
      </c>
      <c r="T73" s="104">
        <f>SUMIFS('1 stopień 20_21'!$I$9:$I$773,'1 stopień 20_21'!$G$9:$G$773,D73,'1 stopień 20_21'!$K$9:$K$773,"CKZ Kluczbork")</f>
        <v>0</v>
      </c>
      <c r="U73" s="104">
        <f>SUMIFS('1 stopień 20_21'!$I$9:$I$773,'1 stopień 20_21'!$G$9:$G$773,D73,'1 stopień 20_21'!$K$9:$K$773,"CKZ Krotoszyn")</f>
        <v>0</v>
      </c>
      <c r="V73" s="104">
        <f>SUMIFS('1 stopień 20_21'!$I$9:$I$773,'1 stopień 20_21'!$G$9:$G$773,D73,'1 stopień 20_21'!$K$9:$K$773,"CKZ Olkusz")</f>
        <v>0</v>
      </c>
      <c r="W73" s="104">
        <f>SUMIFS('1 stopień 20_21'!$I$9:$I$773,'1 stopień 20_21'!$G$9:$G$773,D73,'1 stopień 20_21'!$K$9:$K$773,"CKZ Wschowa")</f>
        <v>0</v>
      </c>
      <c r="X73" s="104">
        <f>SUMIFS('1 stopień 20_21'!$I$9:$I$773,'1 stopień 20_21'!$G$9:$G$773,D73,'1 stopień 20_21'!$K$9:$K$773,"CKZ Zielona Góra")</f>
        <v>0</v>
      </c>
      <c r="Y73" s="104">
        <f>SUMIFS('1 stopień 20_21'!$I$9:$I$773,'1 stopień 20_21'!$G$9:$G$773,D73,'1 stopień 20_21'!$K$9:$K$773,"Rzemieślnicza Wałbrzych")</f>
        <v>0</v>
      </c>
      <c r="Z73" s="104">
        <f>SUMIFS('1 stopień 20_21'!$I$9:$I$773,'1 stopień 20_21'!$G$9:$G$773,D73,'1 stopień 20_21'!$K$9:$K$773,"CKZ Mosina")</f>
        <v>1</v>
      </c>
      <c r="AA73" s="104">
        <f>SUMIFS('1 stopień 20_21'!$I$9:$I$773,'1 stopień 20_21'!$G$9:$G$773,D73,'1 stopień 20_21'!$K$9:$K$773,"CKZ Słupsk")</f>
        <v>0</v>
      </c>
      <c r="AB73" s="104">
        <f>SUMIFS('1 stopień 20_21'!$I$9:$I$773,'1 stopień 20_21'!$G$9:$G$773,D73,'1 stopień 20_21'!$K$9:$K$773,"Toyota")</f>
        <v>0</v>
      </c>
      <c r="AC73" s="104">
        <f>SUMIFS('1 stopień 20_21'!$I$9:$I$773,'1 stopień 20_21'!$G$9:$G$773,D73,'1 stopień 20_21'!$K$9:$K$773,"CKZ Wrocław")</f>
        <v>0</v>
      </c>
      <c r="AD73" s="104">
        <f>SUMIFS('1 stopień 20_21'!$I$9:$I$773,'1 stopień 20_21'!$G$9:$G$773,D73,'1 stopień 20_21'!$K$9:$K$773,"CKZ Opole")</f>
        <v>0</v>
      </c>
      <c r="AE73" s="104">
        <f>SUMIFS('1 stopień 20_21'!$I$9:$I$773,'1 stopień 20_21'!$G$9:$G$773,D73,'1 stopień 20_21'!$K$9:$K$773,"Chojnów")</f>
        <v>0</v>
      </c>
      <c r="AF73" s="104">
        <f>SUMIFS('1 stopień 20_21'!$I$9:$I$773,'1 stopień 20_21'!$G$9:$G$773,D73,'1 stopień 20_21'!$K$9:$K$773,"")</f>
        <v>0</v>
      </c>
      <c r="AG73" s="105">
        <f t="shared" si="2"/>
        <v>1</v>
      </c>
    </row>
    <row r="74" spans="2:33">
      <c r="B74" s="106" t="s">
        <v>638</v>
      </c>
      <c r="C74" s="107">
        <v>732305</v>
      </c>
      <c r="D74" s="107" t="s">
        <v>1389</v>
      </c>
      <c r="E74" s="106" t="s">
        <v>814</v>
      </c>
      <c r="F74" s="103">
        <f>SUMIF('1 stopień 20_21'!G$9:G$773,D74,'1 stopień 20_21'!I$9:I$773)</f>
        <v>0</v>
      </c>
      <c r="G74" s="104">
        <f>SUMIFS('1 stopień 20_21'!$I$9:$I$773,'1 stopień 20_21'!$G$9:$G$773,D74,'1 stopień 20_21'!$K$9:$K$773,"CKZ Bielawa")</f>
        <v>0</v>
      </c>
      <c r="H74" s="104">
        <f>SUMIFS('1 stopień 20_21'!$I$9:$I$773,'1 stopień 20_21'!$G$9:$G$773,D74,'1 stopień 20_21'!$K$9:$K$773,"GCKZ Głogów")</f>
        <v>0</v>
      </c>
      <c r="I74" s="104">
        <f>SUMIFS('1 stopień 20_21'!$I$9:$I$773,'1 stopień 20_21'!$G$9:$G$773,D74,'1 stopień 20_21'!$K$9:$K$773,"CKZ Jawor")</f>
        <v>0</v>
      </c>
      <c r="J74" s="104">
        <f>SUMIFS('1 stopień 20_21'!$I$9:$I$773,'1 stopień 20_21'!$G$9:$G$773,D74,'1 stopień 20_21'!$K$9:$K$773,"JCKZ Jelenia Góra")</f>
        <v>0</v>
      </c>
      <c r="K74" s="104">
        <f>SUMIFS('1 stopień 20_21'!$I$9:$I$773,'1 stopień 20_21'!$G$9:$G$773,D74,'1 stopień 20_21'!$K$9:$K$773,"CKZ Kłodzko")</f>
        <v>0</v>
      </c>
      <c r="L74" s="104">
        <f>SUMIFS('1 stopień 20_21'!$I$9:$I$773,'1 stopień 20_21'!$G$9:$G$773,D74,'1 stopień 20_21'!$K$9:$K$773,"CKZ Legnica")</f>
        <v>0</v>
      </c>
      <c r="M74" s="104">
        <f>SUMIFS('1 stopień 20_21'!$I$9:$I$773,'1 stopień 20_21'!$G$9:$G$773,D74,'1 stopień 20_21'!$K$9:$K$773,"CKZ Oleśnica")</f>
        <v>0</v>
      </c>
      <c r="N74" s="104">
        <f>SUMIFS('1 stopień 20_21'!$I$9:$I$773,'1 stopień 20_21'!$G$9:$G$773,D74,'1 stopień 20_21'!$K$9:$K$773,"CKZ Świdnica")</f>
        <v>0</v>
      </c>
      <c r="O74" s="104">
        <f>SUMIFS('1 stopień 20_21'!$I$9:$I$773,'1 stopień 20_21'!$G$9:$G$773,D74,'1 stopień 20_21'!$K$9:$K$773,"CKZ Wołów")</f>
        <v>0</v>
      </c>
      <c r="P74" s="104">
        <f>SUMIFS('1 stopień 20_21'!$I$9:$I$773,'1 stopień 20_21'!$G$9:$G$773,D74,'1 stopień 20_21'!$K$9:$K$773,"CKZ Ziębice")</f>
        <v>0</v>
      </c>
      <c r="Q74" s="104">
        <f>SUMIFS('1 stopień 20_21'!$I$9:$I$773,'1 stopień 20_21'!$G$9:$G$773,D74,'1 stopień 20_21'!$K$9:$K$773,"CKZ Dobrodzień")</f>
        <v>0</v>
      </c>
      <c r="R74" s="104">
        <f>SUMIFS('1 stopień 20_21'!$I$9:$I$773,'1 stopień 20_21'!$G$9:$G$773,D74,'1 stopień 20_21'!$K$9:$K$773,"CKZ Głubczyce")</f>
        <v>0</v>
      </c>
      <c r="S74" s="104">
        <f>SUMIFS('1 stopień 20_21'!$I$9:$I$773,'1 stopień 20_21'!$G$9:$G$773,D74,'1 stopień 20_21'!$K$9:$K$773,"CKZ Kędzierzyn Kożle")</f>
        <v>0</v>
      </c>
      <c r="T74" s="104">
        <f>SUMIFS('1 stopień 20_21'!$I$9:$I$773,'1 stopień 20_21'!$G$9:$G$773,D74,'1 stopień 20_21'!$K$9:$K$773,"CKZ Kluczbork")</f>
        <v>0</v>
      </c>
      <c r="U74" s="104">
        <f>SUMIFS('1 stopień 20_21'!$I$9:$I$773,'1 stopień 20_21'!$G$9:$G$773,D74,'1 stopień 20_21'!$K$9:$K$773,"CKZ Krotoszyn")</f>
        <v>0</v>
      </c>
      <c r="V74" s="104">
        <f>SUMIFS('1 stopień 20_21'!$I$9:$I$773,'1 stopień 20_21'!$G$9:$G$773,D74,'1 stopień 20_21'!$K$9:$K$773,"CKZ Olkusz")</f>
        <v>0</v>
      </c>
      <c r="W74" s="104">
        <f>SUMIFS('1 stopień 20_21'!$I$9:$I$773,'1 stopień 20_21'!$G$9:$G$773,D74,'1 stopień 20_21'!$K$9:$K$773,"CKZ Wschowa")</f>
        <v>0</v>
      </c>
      <c r="X74" s="104">
        <f>SUMIFS('1 stopień 20_21'!$I$9:$I$773,'1 stopień 20_21'!$G$9:$G$773,D74,'1 stopień 20_21'!$K$9:$K$773,"CKZ Zielona Góra")</f>
        <v>0</v>
      </c>
      <c r="Y74" s="104">
        <f>SUMIFS('1 stopień 20_21'!$I$9:$I$773,'1 stopień 20_21'!$G$9:$G$773,D74,'1 stopień 20_21'!$K$9:$K$773,"Rzemieślnicza Wałbrzych")</f>
        <v>0</v>
      </c>
      <c r="Z74" s="104">
        <f>SUMIFS('1 stopień 20_21'!$I$9:$I$773,'1 stopień 20_21'!$G$9:$G$773,D74,'1 stopień 20_21'!$K$9:$K$773,"CKZ Mosina")</f>
        <v>0</v>
      </c>
      <c r="AA74" s="104">
        <f>SUMIFS('1 stopień 20_21'!$I$9:$I$773,'1 stopień 20_21'!$G$9:$G$773,D74,'1 stopień 20_21'!$K$9:$K$773,"CKZ Słupsk")</f>
        <v>0</v>
      </c>
      <c r="AB74" s="104">
        <f>SUMIFS('1 stopień 20_21'!$I$9:$I$773,'1 stopień 20_21'!$G$9:$G$773,D74,'1 stopień 20_21'!$K$9:$K$773,"Toyota")</f>
        <v>0</v>
      </c>
      <c r="AC74" s="104">
        <f>SUMIFS('1 stopień 20_21'!$I$9:$I$773,'1 stopień 20_21'!$G$9:$G$773,D74,'1 stopień 20_21'!$K$9:$K$773,"CKZ Wrocław")</f>
        <v>0</v>
      </c>
      <c r="AD74" s="104">
        <f>SUMIFS('1 stopień 20_21'!$I$9:$I$773,'1 stopień 20_21'!$G$9:$G$773,D74,'1 stopień 20_21'!$K$9:$K$773,"CKZ Opole")</f>
        <v>0</v>
      </c>
      <c r="AE74" s="104">
        <f>SUMIFS('1 stopień 20_21'!$I$9:$I$773,'1 stopień 20_21'!$G$9:$G$773,D74,'1 stopień 20_21'!$K$9:$K$773,"Chojnów")</f>
        <v>0</v>
      </c>
      <c r="AF74" s="104">
        <f>SUMIFS('1 stopień 20_21'!$I$9:$I$773,'1 stopień 20_21'!$G$9:$G$773,D74,'1 stopień 20_21'!$K$9:$K$773,"")</f>
        <v>0</v>
      </c>
      <c r="AG74" s="105">
        <f t="shared" si="2"/>
        <v>0</v>
      </c>
    </row>
    <row r="75" spans="2:33">
      <c r="B75" s="106" t="s">
        <v>639</v>
      </c>
      <c r="C75" s="107">
        <v>753501</v>
      </c>
      <c r="D75" s="107" t="s">
        <v>1390</v>
      </c>
      <c r="E75" s="106" t="s">
        <v>812</v>
      </c>
      <c r="F75" s="103">
        <f>SUMIF('1 stopień 20_21'!G$9:G$773,D75,'1 stopień 20_21'!I$9:I$773)</f>
        <v>0</v>
      </c>
      <c r="G75" s="104">
        <f>SUMIFS('1 stopień 20_21'!$I$9:$I$773,'1 stopień 20_21'!$G$9:$G$773,D75,'1 stopień 20_21'!$K$9:$K$773,"CKZ Bielawa")</f>
        <v>0</v>
      </c>
      <c r="H75" s="104">
        <f>SUMIFS('1 stopień 20_21'!$I$9:$I$773,'1 stopień 20_21'!$G$9:$G$773,D75,'1 stopień 20_21'!$K$9:$K$773,"GCKZ Głogów")</f>
        <v>0</v>
      </c>
      <c r="I75" s="104">
        <f>SUMIFS('1 stopień 20_21'!$I$9:$I$773,'1 stopień 20_21'!$G$9:$G$773,D75,'1 stopień 20_21'!$K$9:$K$773,"CKZ Jawor")</f>
        <v>0</v>
      </c>
      <c r="J75" s="104">
        <f>SUMIFS('1 stopień 20_21'!$I$9:$I$773,'1 stopień 20_21'!$G$9:$G$773,D75,'1 stopień 20_21'!$K$9:$K$773,"JCKZ Jelenia Góra")</f>
        <v>0</v>
      </c>
      <c r="K75" s="104">
        <f>SUMIFS('1 stopień 20_21'!$I$9:$I$773,'1 stopień 20_21'!$G$9:$G$773,D75,'1 stopień 20_21'!$K$9:$K$773,"CKZ Kłodzko")</f>
        <v>0</v>
      </c>
      <c r="L75" s="104">
        <f>SUMIFS('1 stopień 20_21'!$I$9:$I$773,'1 stopień 20_21'!$G$9:$G$773,D75,'1 stopień 20_21'!$K$9:$K$773,"CKZ Legnica")</f>
        <v>0</v>
      </c>
      <c r="M75" s="104">
        <f>SUMIFS('1 stopień 20_21'!$I$9:$I$773,'1 stopień 20_21'!$G$9:$G$773,D75,'1 stopień 20_21'!$K$9:$K$773,"CKZ Oleśnica")</f>
        <v>0</v>
      </c>
      <c r="N75" s="104">
        <f>SUMIFS('1 stopień 20_21'!$I$9:$I$773,'1 stopień 20_21'!$G$9:$G$773,D75,'1 stopień 20_21'!$K$9:$K$773,"CKZ Świdnica")</f>
        <v>0</v>
      </c>
      <c r="O75" s="104">
        <f>SUMIFS('1 stopień 20_21'!$I$9:$I$773,'1 stopień 20_21'!$G$9:$G$773,D75,'1 stopień 20_21'!$K$9:$K$773,"CKZ Wołów")</f>
        <v>0</v>
      </c>
      <c r="P75" s="104">
        <f>SUMIFS('1 stopień 20_21'!$I$9:$I$773,'1 stopień 20_21'!$G$9:$G$773,D75,'1 stopień 20_21'!$K$9:$K$773,"CKZ Ziębice")</f>
        <v>0</v>
      </c>
      <c r="Q75" s="104">
        <f>SUMIFS('1 stopień 20_21'!$I$9:$I$773,'1 stopień 20_21'!$G$9:$G$773,D75,'1 stopień 20_21'!$K$9:$K$773,"CKZ Dobrodzień")</f>
        <v>0</v>
      </c>
      <c r="R75" s="104">
        <f>SUMIFS('1 stopień 20_21'!$I$9:$I$773,'1 stopień 20_21'!$G$9:$G$773,D75,'1 stopień 20_21'!$K$9:$K$773,"CKZ Głubczyce")</f>
        <v>0</v>
      </c>
      <c r="S75" s="104">
        <f>SUMIFS('1 stopień 20_21'!$I$9:$I$773,'1 stopień 20_21'!$G$9:$G$773,D75,'1 stopień 20_21'!$K$9:$K$773,"CKZ Kędzierzyn Kożle")</f>
        <v>0</v>
      </c>
      <c r="T75" s="104">
        <f>SUMIFS('1 stopień 20_21'!$I$9:$I$773,'1 stopień 20_21'!$G$9:$G$773,D75,'1 stopień 20_21'!$K$9:$K$773,"CKZ Kluczbork")</f>
        <v>0</v>
      </c>
      <c r="U75" s="104">
        <f>SUMIFS('1 stopień 20_21'!$I$9:$I$773,'1 stopień 20_21'!$G$9:$G$773,D75,'1 stopień 20_21'!$K$9:$K$773,"CKZ Krotoszyn")</f>
        <v>0</v>
      </c>
      <c r="V75" s="104">
        <f>SUMIFS('1 stopień 20_21'!$I$9:$I$773,'1 stopień 20_21'!$G$9:$G$773,D75,'1 stopień 20_21'!$K$9:$K$773,"CKZ Olkusz")</f>
        <v>0</v>
      </c>
      <c r="W75" s="104">
        <f>SUMIFS('1 stopień 20_21'!$I$9:$I$773,'1 stopień 20_21'!$G$9:$G$773,D75,'1 stopień 20_21'!$K$9:$K$773,"CKZ Wschowa")</f>
        <v>0</v>
      </c>
      <c r="X75" s="104">
        <f>SUMIFS('1 stopień 20_21'!$I$9:$I$773,'1 stopień 20_21'!$G$9:$G$773,D75,'1 stopień 20_21'!$K$9:$K$773,"CKZ Zielona Góra")</f>
        <v>0</v>
      </c>
      <c r="Y75" s="104">
        <f>SUMIFS('1 stopień 20_21'!$I$9:$I$773,'1 stopień 20_21'!$G$9:$G$773,D75,'1 stopień 20_21'!$K$9:$K$773,"Rzemieślnicza Wałbrzych")</f>
        <v>0</v>
      </c>
      <c r="Z75" s="104">
        <f>SUMIFS('1 stopień 20_21'!$I$9:$I$773,'1 stopień 20_21'!$G$9:$G$773,D75,'1 stopień 20_21'!$K$9:$K$773,"CKZ Mosina")</f>
        <v>0</v>
      </c>
      <c r="AA75" s="104">
        <f>SUMIFS('1 stopień 20_21'!$I$9:$I$773,'1 stopień 20_21'!$G$9:$G$773,D75,'1 stopień 20_21'!$K$9:$K$773,"CKZ Słupsk")</f>
        <v>0</v>
      </c>
      <c r="AB75" s="104">
        <f>SUMIFS('1 stopień 20_21'!$I$9:$I$773,'1 stopień 20_21'!$G$9:$G$773,D75,'1 stopień 20_21'!$K$9:$K$773,"Toyota")</f>
        <v>0</v>
      </c>
      <c r="AC75" s="104">
        <f>SUMIFS('1 stopień 20_21'!$I$9:$I$773,'1 stopień 20_21'!$G$9:$G$773,D75,'1 stopień 20_21'!$K$9:$K$773,"CKZ Wrocław")</f>
        <v>0</v>
      </c>
      <c r="AD75" s="104">
        <f>SUMIFS('1 stopień 20_21'!$I$9:$I$773,'1 stopień 20_21'!$G$9:$G$773,D75,'1 stopień 20_21'!$K$9:$K$773,"CKZ Opole")</f>
        <v>0</v>
      </c>
      <c r="AE75" s="104">
        <f>SUMIFS('1 stopień 20_21'!$I$9:$I$773,'1 stopień 20_21'!$G$9:$G$773,D75,'1 stopień 20_21'!$K$9:$K$773,"Chojnów")</f>
        <v>0</v>
      </c>
      <c r="AF75" s="104">
        <f>SUMIFS('1 stopień 20_21'!$I$9:$I$773,'1 stopień 20_21'!$G$9:$G$773,D75,'1 stopień 20_21'!$K$9:$K$773,"")</f>
        <v>0</v>
      </c>
      <c r="AG75" s="105">
        <f t="shared" si="2"/>
        <v>0</v>
      </c>
    </row>
    <row r="76" spans="2:33">
      <c r="B76" s="106" t="s">
        <v>640</v>
      </c>
      <c r="C76" s="107">
        <v>753702</v>
      </c>
      <c r="D76" s="107" t="s">
        <v>1391</v>
      </c>
      <c r="E76" s="106" t="s">
        <v>810</v>
      </c>
      <c r="F76" s="103">
        <f>SUMIF('1 stopień 20_21'!G$9:G$773,D76,'1 stopień 20_21'!I$9:I$773)</f>
        <v>0</v>
      </c>
      <c r="G76" s="104">
        <f>SUMIFS('1 stopień 20_21'!$I$9:$I$773,'1 stopień 20_21'!$G$9:$G$773,D76,'1 stopień 20_21'!$K$9:$K$773,"CKZ Bielawa")</f>
        <v>0</v>
      </c>
      <c r="H76" s="104">
        <f>SUMIFS('1 stopień 20_21'!$I$9:$I$773,'1 stopień 20_21'!$G$9:$G$773,D76,'1 stopień 20_21'!$K$9:$K$773,"GCKZ Głogów")</f>
        <v>0</v>
      </c>
      <c r="I76" s="104">
        <f>SUMIFS('1 stopień 20_21'!$I$9:$I$773,'1 stopień 20_21'!$G$9:$G$773,D76,'1 stopień 20_21'!$K$9:$K$773,"CKZ Jawor")</f>
        <v>0</v>
      </c>
      <c r="J76" s="104">
        <f>SUMIFS('1 stopień 20_21'!$I$9:$I$773,'1 stopień 20_21'!$G$9:$G$773,D76,'1 stopień 20_21'!$K$9:$K$773,"JCKZ Jelenia Góra")</f>
        <v>0</v>
      </c>
      <c r="K76" s="104">
        <f>SUMIFS('1 stopień 20_21'!$I$9:$I$773,'1 stopień 20_21'!$G$9:$G$773,D76,'1 stopień 20_21'!$K$9:$K$773,"CKZ Kłodzko")</f>
        <v>0</v>
      </c>
      <c r="L76" s="104">
        <f>SUMIFS('1 stopień 20_21'!$I$9:$I$773,'1 stopień 20_21'!$G$9:$G$773,D76,'1 stopień 20_21'!$K$9:$K$773,"CKZ Legnica")</f>
        <v>0</v>
      </c>
      <c r="M76" s="104">
        <f>SUMIFS('1 stopień 20_21'!$I$9:$I$773,'1 stopień 20_21'!$G$9:$G$773,D76,'1 stopień 20_21'!$K$9:$K$773,"CKZ Oleśnica")</f>
        <v>0</v>
      </c>
      <c r="N76" s="104">
        <f>SUMIFS('1 stopień 20_21'!$I$9:$I$773,'1 stopień 20_21'!$G$9:$G$773,D76,'1 stopień 20_21'!$K$9:$K$773,"CKZ Świdnica")</f>
        <v>0</v>
      </c>
      <c r="O76" s="104">
        <f>SUMIFS('1 stopień 20_21'!$I$9:$I$773,'1 stopień 20_21'!$G$9:$G$773,D76,'1 stopień 20_21'!$K$9:$K$773,"CKZ Wołów")</f>
        <v>0</v>
      </c>
      <c r="P76" s="104">
        <f>SUMIFS('1 stopień 20_21'!$I$9:$I$773,'1 stopień 20_21'!$G$9:$G$773,D76,'1 stopień 20_21'!$K$9:$K$773,"CKZ Ziębice")</f>
        <v>0</v>
      </c>
      <c r="Q76" s="104">
        <f>SUMIFS('1 stopień 20_21'!$I$9:$I$773,'1 stopień 20_21'!$G$9:$G$773,D76,'1 stopień 20_21'!$K$9:$K$773,"CKZ Dobrodzień")</f>
        <v>0</v>
      </c>
      <c r="R76" s="104">
        <f>SUMIFS('1 stopień 20_21'!$I$9:$I$773,'1 stopień 20_21'!$G$9:$G$773,D76,'1 stopień 20_21'!$K$9:$K$773,"CKZ Głubczyce")</f>
        <v>0</v>
      </c>
      <c r="S76" s="104">
        <f>SUMIFS('1 stopień 20_21'!$I$9:$I$773,'1 stopień 20_21'!$G$9:$G$773,D76,'1 stopień 20_21'!$K$9:$K$773,"CKZ Kędzierzyn Kożle")</f>
        <v>0</v>
      </c>
      <c r="T76" s="104">
        <f>SUMIFS('1 stopień 20_21'!$I$9:$I$773,'1 stopień 20_21'!$G$9:$G$773,D76,'1 stopień 20_21'!$K$9:$K$773,"CKZ Kluczbork")</f>
        <v>0</v>
      </c>
      <c r="U76" s="104">
        <f>SUMIFS('1 stopień 20_21'!$I$9:$I$773,'1 stopień 20_21'!$G$9:$G$773,D76,'1 stopień 20_21'!$K$9:$K$773,"CKZ Krotoszyn")</f>
        <v>0</v>
      </c>
      <c r="V76" s="104">
        <f>SUMIFS('1 stopień 20_21'!$I$9:$I$773,'1 stopień 20_21'!$G$9:$G$773,D76,'1 stopień 20_21'!$K$9:$K$773,"CKZ Olkusz")</f>
        <v>0</v>
      </c>
      <c r="W76" s="104">
        <f>SUMIFS('1 stopień 20_21'!$I$9:$I$773,'1 stopień 20_21'!$G$9:$G$773,D76,'1 stopień 20_21'!$K$9:$K$773,"CKZ Wschowa")</f>
        <v>0</v>
      </c>
      <c r="X76" s="104">
        <f>SUMIFS('1 stopień 20_21'!$I$9:$I$773,'1 stopień 20_21'!$G$9:$G$773,D76,'1 stopień 20_21'!$K$9:$K$773,"CKZ Zielona Góra")</f>
        <v>0</v>
      </c>
      <c r="Y76" s="104">
        <f>SUMIFS('1 stopień 20_21'!$I$9:$I$773,'1 stopień 20_21'!$G$9:$G$773,D76,'1 stopień 20_21'!$K$9:$K$773,"Rzemieślnicza Wałbrzych")</f>
        <v>0</v>
      </c>
      <c r="Z76" s="104">
        <f>SUMIFS('1 stopień 20_21'!$I$9:$I$773,'1 stopień 20_21'!$G$9:$G$773,D76,'1 stopień 20_21'!$K$9:$K$773,"CKZ Mosina")</f>
        <v>0</v>
      </c>
      <c r="AA76" s="104">
        <f>SUMIFS('1 stopień 20_21'!$I$9:$I$773,'1 stopień 20_21'!$G$9:$G$773,D76,'1 stopień 20_21'!$K$9:$K$773,"CKZ Słupsk")</f>
        <v>0</v>
      </c>
      <c r="AB76" s="104">
        <f>SUMIFS('1 stopień 20_21'!$I$9:$I$773,'1 stopień 20_21'!$G$9:$G$773,D76,'1 stopień 20_21'!$K$9:$K$773,"Toyota")</f>
        <v>0</v>
      </c>
      <c r="AC76" s="104">
        <f>SUMIFS('1 stopień 20_21'!$I$9:$I$773,'1 stopień 20_21'!$G$9:$G$773,D76,'1 stopień 20_21'!$K$9:$K$773,"CKZ Wrocław")</f>
        <v>0</v>
      </c>
      <c r="AD76" s="104">
        <f>SUMIFS('1 stopień 20_21'!$I$9:$I$773,'1 stopień 20_21'!$G$9:$G$773,D76,'1 stopień 20_21'!$K$9:$K$773,"CKZ Opole")</f>
        <v>0</v>
      </c>
      <c r="AE76" s="104">
        <f>SUMIFS('1 stopień 20_21'!$I$9:$I$773,'1 stopień 20_21'!$G$9:$G$773,D76,'1 stopień 20_21'!$K$9:$K$773,"Chojnów")</f>
        <v>0</v>
      </c>
      <c r="AF76" s="104">
        <f>SUMIFS('1 stopień 20_21'!$I$9:$I$773,'1 stopień 20_21'!$G$9:$G$773,D76,'1 stopień 20_21'!$K$9:$K$773,"")</f>
        <v>0</v>
      </c>
      <c r="AG76" s="105">
        <f t="shared" si="2"/>
        <v>0</v>
      </c>
    </row>
    <row r="77" spans="2:33">
      <c r="B77" s="106" t="s">
        <v>641</v>
      </c>
      <c r="C77" s="107">
        <v>753105</v>
      </c>
      <c r="D77" s="107" t="s">
        <v>543</v>
      </c>
      <c r="E77" s="106" t="s">
        <v>808</v>
      </c>
      <c r="F77" s="103">
        <f>SUMIF('1 stopień 20_21'!G$9:G$773,D77,'1 stopień 20_21'!I$9:I$773)</f>
        <v>2</v>
      </c>
      <c r="G77" s="104">
        <f>SUMIFS('1 stopień 20_21'!$I$9:$I$773,'1 stopień 20_21'!$G$9:$G$773,D77,'1 stopień 20_21'!$K$9:$K$773,"CKZ Bielawa")</f>
        <v>0</v>
      </c>
      <c r="H77" s="104">
        <f>SUMIFS('1 stopień 20_21'!$I$9:$I$773,'1 stopień 20_21'!$G$9:$G$773,D77,'1 stopień 20_21'!$K$9:$K$773,"GCKZ Głogów")</f>
        <v>0</v>
      </c>
      <c r="I77" s="104">
        <f>SUMIFS('1 stopień 20_21'!$I$9:$I$773,'1 stopień 20_21'!$G$9:$G$773,D77,'1 stopień 20_21'!$K$9:$K$773,"CKZ Jawor")</f>
        <v>0</v>
      </c>
      <c r="J77" s="104">
        <f>SUMIFS('1 stopień 20_21'!$I$9:$I$773,'1 stopień 20_21'!$G$9:$G$773,D77,'1 stopień 20_21'!$K$9:$K$773,"JCKZ Jelenia Góra")</f>
        <v>0</v>
      </c>
      <c r="K77" s="104">
        <f>SUMIFS('1 stopień 20_21'!$I$9:$I$773,'1 stopień 20_21'!$G$9:$G$773,D77,'1 stopień 20_21'!$K$9:$K$773,"CKZ Kłodzko")</f>
        <v>0</v>
      </c>
      <c r="L77" s="104">
        <f>SUMIFS('1 stopień 20_21'!$I$9:$I$773,'1 stopień 20_21'!$G$9:$G$773,D77,'1 stopień 20_21'!$K$9:$K$773,"CKZ Legnica")</f>
        <v>0</v>
      </c>
      <c r="M77" s="104">
        <f>SUMIFS('1 stopień 20_21'!$I$9:$I$773,'1 stopień 20_21'!$G$9:$G$773,D77,'1 stopień 20_21'!$K$9:$K$773,"CKZ Oleśnica")</f>
        <v>0</v>
      </c>
      <c r="N77" s="104">
        <f>SUMIFS('1 stopień 20_21'!$I$9:$I$773,'1 stopień 20_21'!$G$9:$G$773,D77,'1 stopień 20_21'!$K$9:$K$773,"CKZ Świdnica")</f>
        <v>0</v>
      </c>
      <c r="O77" s="104">
        <f>SUMIFS('1 stopień 20_21'!$I$9:$I$773,'1 stopień 20_21'!$G$9:$G$773,D77,'1 stopień 20_21'!$K$9:$K$773,"CKZ Wołów")</f>
        <v>0</v>
      </c>
      <c r="P77" s="104">
        <f>SUMIFS('1 stopień 20_21'!$I$9:$I$773,'1 stopień 20_21'!$G$9:$G$773,D77,'1 stopień 20_21'!$K$9:$K$773,"CKZ Ziębice")</f>
        <v>0</v>
      </c>
      <c r="Q77" s="104">
        <f>SUMIFS('1 stopień 20_21'!$I$9:$I$773,'1 stopień 20_21'!$G$9:$G$773,D77,'1 stopień 20_21'!$K$9:$K$773,"CKZ Dobrodzień")</f>
        <v>0</v>
      </c>
      <c r="R77" s="104">
        <f>SUMIFS('1 stopień 20_21'!$I$9:$I$773,'1 stopień 20_21'!$G$9:$G$773,D77,'1 stopień 20_21'!$K$9:$K$773,"CKZ Głubczyce")</f>
        <v>0</v>
      </c>
      <c r="S77" s="104">
        <f>SUMIFS('1 stopień 20_21'!$I$9:$I$773,'1 stopień 20_21'!$G$9:$G$773,D77,'1 stopień 20_21'!$K$9:$K$773,"CKZ Kędzierzyn Kożle")</f>
        <v>0</v>
      </c>
      <c r="T77" s="104">
        <f>SUMIFS('1 stopień 20_21'!$I$9:$I$773,'1 stopień 20_21'!$G$9:$G$773,D77,'1 stopień 20_21'!$K$9:$K$773,"CKZ Kluczbork")</f>
        <v>0</v>
      </c>
      <c r="U77" s="104">
        <f>SUMIFS('1 stopień 20_21'!$I$9:$I$773,'1 stopień 20_21'!$G$9:$G$773,D77,'1 stopień 20_21'!$K$9:$K$773,"CKZ Krotoszyn")</f>
        <v>2</v>
      </c>
      <c r="V77" s="104">
        <f>SUMIFS('1 stopień 20_21'!$I$9:$I$773,'1 stopień 20_21'!$G$9:$G$773,D77,'1 stopień 20_21'!$K$9:$K$773,"CKZ Olkusz")</f>
        <v>0</v>
      </c>
      <c r="W77" s="104">
        <f>SUMIFS('1 stopień 20_21'!$I$9:$I$773,'1 stopień 20_21'!$G$9:$G$773,D77,'1 stopień 20_21'!$K$9:$K$773,"CKZ Wschowa")</f>
        <v>0</v>
      </c>
      <c r="X77" s="104">
        <f>SUMIFS('1 stopień 20_21'!$I$9:$I$773,'1 stopień 20_21'!$G$9:$G$773,D77,'1 stopień 20_21'!$K$9:$K$773,"CKZ Zielona Góra")</f>
        <v>0</v>
      </c>
      <c r="Y77" s="104">
        <f>SUMIFS('1 stopień 20_21'!$I$9:$I$773,'1 stopień 20_21'!$G$9:$G$773,D77,'1 stopień 20_21'!$K$9:$K$773,"Rzemieślnicza Wałbrzych")</f>
        <v>0</v>
      </c>
      <c r="Z77" s="104">
        <f>SUMIFS('1 stopień 20_21'!$I$9:$I$773,'1 stopień 20_21'!$G$9:$G$773,D77,'1 stopień 20_21'!$K$9:$K$773,"CKZ Mosina")</f>
        <v>0</v>
      </c>
      <c r="AA77" s="104">
        <f>SUMIFS('1 stopień 20_21'!$I$9:$I$773,'1 stopień 20_21'!$G$9:$G$773,D77,'1 stopień 20_21'!$K$9:$K$773,"CKZ Słupsk")</f>
        <v>0</v>
      </c>
      <c r="AB77" s="104">
        <f>SUMIFS('1 stopień 20_21'!$I$9:$I$773,'1 stopień 20_21'!$G$9:$G$773,D77,'1 stopień 20_21'!$K$9:$K$773,"Toyota")</f>
        <v>0</v>
      </c>
      <c r="AC77" s="104">
        <f>SUMIFS('1 stopień 20_21'!$I$9:$I$773,'1 stopień 20_21'!$G$9:$G$773,D77,'1 stopień 20_21'!$K$9:$K$773,"CKZ Wrocław")</f>
        <v>0</v>
      </c>
      <c r="AD77" s="104">
        <f>SUMIFS('1 stopień 20_21'!$I$9:$I$773,'1 stopień 20_21'!$G$9:$G$773,D77,'1 stopień 20_21'!$K$9:$K$773,"CKZ Opole")</f>
        <v>0</v>
      </c>
      <c r="AE77" s="104">
        <f>SUMIFS('1 stopień 20_21'!$I$9:$I$773,'1 stopień 20_21'!$G$9:$G$773,D77,'1 stopień 20_21'!$K$9:$K$773,"Chojnów")</f>
        <v>0</v>
      </c>
      <c r="AF77" s="104">
        <f>SUMIFS('1 stopień 20_21'!$I$9:$I$773,'1 stopień 20_21'!$G$9:$G$773,D77,'1 stopień 20_21'!$K$9:$K$773,"")</f>
        <v>0</v>
      </c>
      <c r="AG77" s="105">
        <f t="shared" si="2"/>
        <v>2</v>
      </c>
    </row>
    <row r="78" spans="2:33">
      <c r="B78" s="106" t="s">
        <v>642</v>
      </c>
      <c r="C78" s="107">
        <v>753106</v>
      </c>
      <c r="D78" s="107" t="s">
        <v>1392</v>
      </c>
      <c r="E78" s="106" t="s">
        <v>806</v>
      </c>
      <c r="F78" s="103">
        <f>SUMIF('1 stopień 20_21'!G$9:G$773,D78,'1 stopień 20_21'!I$9:I$773)</f>
        <v>0</v>
      </c>
      <c r="G78" s="104">
        <f>SUMIFS('1 stopień 20_21'!$I$9:$I$773,'1 stopień 20_21'!$G$9:$G$773,D78,'1 stopień 20_21'!$K$9:$K$773,"CKZ Bielawa")</f>
        <v>0</v>
      </c>
      <c r="H78" s="104">
        <f>SUMIFS('1 stopień 20_21'!$I$9:$I$773,'1 stopień 20_21'!$G$9:$G$773,D78,'1 stopień 20_21'!$K$9:$K$773,"GCKZ Głogów")</f>
        <v>0</v>
      </c>
      <c r="I78" s="104">
        <f>SUMIFS('1 stopień 20_21'!$I$9:$I$773,'1 stopień 20_21'!$G$9:$G$773,D78,'1 stopień 20_21'!$K$9:$K$773,"CKZ Jawor")</f>
        <v>0</v>
      </c>
      <c r="J78" s="104">
        <f>SUMIFS('1 stopień 20_21'!$I$9:$I$773,'1 stopień 20_21'!$G$9:$G$773,D78,'1 stopień 20_21'!$K$9:$K$773,"JCKZ Jelenia Góra")</f>
        <v>0</v>
      </c>
      <c r="K78" s="104">
        <f>SUMIFS('1 stopień 20_21'!$I$9:$I$773,'1 stopień 20_21'!$G$9:$G$773,D78,'1 stopień 20_21'!$K$9:$K$773,"CKZ Kłodzko")</f>
        <v>0</v>
      </c>
      <c r="L78" s="104">
        <f>SUMIFS('1 stopień 20_21'!$I$9:$I$773,'1 stopień 20_21'!$G$9:$G$773,D78,'1 stopień 20_21'!$K$9:$K$773,"CKZ Legnica")</f>
        <v>0</v>
      </c>
      <c r="M78" s="104">
        <f>SUMIFS('1 stopień 20_21'!$I$9:$I$773,'1 stopień 20_21'!$G$9:$G$773,D78,'1 stopień 20_21'!$K$9:$K$773,"CKZ Oleśnica")</f>
        <v>0</v>
      </c>
      <c r="N78" s="104">
        <f>SUMIFS('1 stopień 20_21'!$I$9:$I$773,'1 stopień 20_21'!$G$9:$G$773,D78,'1 stopień 20_21'!$K$9:$K$773,"CKZ Świdnica")</f>
        <v>0</v>
      </c>
      <c r="O78" s="104">
        <f>SUMIFS('1 stopień 20_21'!$I$9:$I$773,'1 stopień 20_21'!$G$9:$G$773,D78,'1 stopień 20_21'!$K$9:$K$773,"CKZ Wołów")</f>
        <v>0</v>
      </c>
      <c r="P78" s="104">
        <f>SUMIFS('1 stopień 20_21'!$I$9:$I$773,'1 stopień 20_21'!$G$9:$G$773,D78,'1 stopień 20_21'!$K$9:$K$773,"CKZ Ziębice")</f>
        <v>0</v>
      </c>
      <c r="Q78" s="104">
        <f>SUMIFS('1 stopień 20_21'!$I$9:$I$773,'1 stopień 20_21'!$G$9:$G$773,D78,'1 stopień 20_21'!$K$9:$K$773,"CKZ Dobrodzień")</f>
        <v>0</v>
      </c>
      <c r="R78" s="104">
        <f>SUMIFS('1 stopień 20_21'!$I$9:$I$773,'1 stopień 20_21'!$G$9:$G$773,D78,'1 stopień 20_21'!$K$9:$K$773,"CKZ Głubczyce")</f>
        <v>0</v>
      </c>
      <c r="S78" s="104">
        <f>SUMIFS('1 stopień 20_21'!$I$9:$I$773,'1 stopień 20_21'!$G$9:$G$773,D78,'1 stopień 20_21'!$K$9:$K$773,"CKZ Kędzierzyn Kożle")</f>
        <v>0</v>
      </c>
      <c r="T78" s="104">
        <f>SUMIFS('1 stopień 20_21'!$I$9:$I$773,'1 stopień 20_21'!$G$9:$G$773,D78,'1 stopień 20_21'!$K$9:$K$773,"CKZ Kluczbork")</f>
        <v>0</v>
      </c>
      <c r="U78" s="104">
        <f>SUMIFS('1 stopień 20_21'!$I$9:$I$773,'1 stopień 20_21'!$G$9:$G$773,D78,'1 stopień 20_21'!$K$9:$K$773,"CKZ Krotoszyn")</f>
        <v>0</v>
      </c>
      <c r="V78" s="104">
        <f>SUMIFS('1 stopień 20_21'!$I$9:$I$773,'1 stopień 20_21'!$G$9:$G$773,D78,'1 stopień 20_21'!$K$9:$K$773,"CKZ Olkusz")</f>
        <v>0</v>
      </c>
      <c r="W78" s="104">
        <f>SUMIFS('1 stopień 20_21'!$I$9:$I$773,'1 stopień 20_21'!$G$9:$G$773,D78,'1 stopień 20_21'!$K$9:$K$773,"CKZ Wschowa")</f>
        <v>0</v>
      </c>
      <c r="X78" s="104">
        <f>SUMIFS('1 stopień 20_21'!$I$9:$I$773,'1 stopień 20_21'!$G$9:$G$773,D78,'1 stopień 20_21'!$K$9:$K$773,"CKZ Zielona Góra")</f>
        <v>0</v>
      </c>
      <c r="Y78" s="104">
        <f>SUMIFS('1 stopień 20_21'!$I$9:$I$773,'1 stopień 20_21'!$G$9:$G$773,D78,'1 stopień 20_21'!$K$9:$K$773,"Rzemieślnicza Wałbrzych")</f>
        <v>0</v>
      </c>
      <c r="Z78" s="104">
        <f>SUMIFS('1 stopień 20_21'!$I$9:$I$773,'1 stopień 20_21'!$G$9:$G$773,D78,'1 stopień 20_21'!$K$9:$K$773,"CKZ Mosina")</f>
        <v>0</v>
      </c>
      <c r="AA78" s="104">
        <f>SUMIFS('1 stopień 20_21'!$I$9:$I$773,'1 stopień 20_21'!$G$9:$G$773,D78,'1 stopień 20_21'!$K$9:$K$773,"CKZ Słupsk")</f>
        <v>0</v>
      </c>
      <c r="AB78" s="104">
        <f>SUMIFS('1 stopień 20_21'!$I$9:$I$773,'1 stopień 20_21'!$G$9:$G$773,D78,'1 stopień 20_21'!$K$9:$K$773,"Toyota")</f>
        <v>0</v>
      </c>
      <c r="AC78" s="104">
        <f>SUMIFS('1 stopień 20_21'!$I$9:$I$773,'1 stopień 20_21'!$G$9:$G$773,D78,'1 stopień 20_21'!$K$9:$K$773,"CKZ Wrocław")</f>
        <v>0</v>
      </c>
      <c r="AD78" s="104">
        <f>SUMIFS('1 stopień 20_21'!$I$9:$I$773,'1 stopień 20_21'!$G$9:$G$773,D78,'1 stopień 20_21'!$K$9:$K$773,"CKZ Opole")</f>
        <v>0</v>
      </c>
      <c r="AE78" s="104">
        <f>SUMIFS('1 stopień 20_21'!$I$9:$I$773,'1 stopień 20_21'!$G$9:$G$773,D78,'1 stopień 20_21'!$K$9:$K$773,"Chojnów")</f>
        <v>0</v>
      </c>
      <c r="AF78" s="104">
        <f>SUMIFS('1 stopień 20_21'!$I$9:$I$773,'1 stopień 20_21'!$G$9:$G$773,D78,'1 stopień 20_21'!$K$9:$K$773,"")</f>
        <v>0</v>
      </c>
      <c r="AG78" s="105">
        <f t="shared" si="2"/>
        <v>0</v>
      </c>
    </row>
    <row r="79" spans="2:33" ht="15.75" customHeight="1">
      <c r="B79" s="106" t="s">
        <v>643</v>
      </c>
      <c r="C79" s="107">
        <v>753602</v>
      </c>
      <c r="D79" s="107" t="s">
        <v>1393</v>
      </c>
      <c r="E79" s="106" t="s">
        <v>804</v>
      </c>
      <c r="F79" s="103">
        <f>SUMIF('1 stopień 20_21'!G$9:G$773,D79,'1 stopień 20_21'!I$9:I$773)</f>
        <v>0</v>
      </c>
      <c r="G79" s="104">
        <f>SUMIFS('1 stopień 20_21'!$I$9:$I$773,'1 stopień 20_21'!$G$9:$G$773,D79,'1 stopień 20_21'!$K$9:$K$773,"CKZ Bielawa")</f>
        <v>0</v>
      </c>
      <c r="H79" s="104">
        <f>SUMIFS('1 stopień 20_21'!$I$9:$I$773,'1 stopień 20_21'!$G$9:$G$773,D79,'1 stopień 20_21'!$K$9:$K$773,"GCKZ Głogów")</f>
        <v>0</v>
      </c>
      <c r="I79" s="104">
        <f>SUMIFS('1 stopień 20_21'!$I$9:$I$773,'1 stopień 20_21'!$G$9:$G$773,D79,'1 stopień 20_21'!$K$9:$K$773,"CKZ Jawor")</f>
        <v>0</v>
      </c>
      <c r="J79" s="104">
        <f>SUMIFS('1 stopień 20_21'!$I$9:$I$773,'1 stopień 20_21'!$G$9:$G$773,D79,'1 stopień 20_21'!$K$9:$K$773,"JCKZ Jelenia Góra")</f>
        <v>0</v>
      </c>
      <c r="K79" s="104">
        <f>SUMIFS('1 stopień 20_21'!$I$9:$I$773,'1 stopień 20_21'!$G$9:$G$773,D79,'1 stopień 20_21'!$K$9:$K$773,"CKZ Kłodzko")</f>
        <v>0</v>
      </c>
      <c r="L79" s="104">
        <f>SUMIFS('1 stopień 20_21'!$I$9:$I$773,'1 stopień 20_21'!$G$9:$G$773,D79,'1 stopień 20_21'!$K$9:$K$773,"CKZ Legnica")</f>
        <v>0</v>
      </c>
      <c r="M79" s="104">
        <f>SUMIFS('1 stopień 20_21'!$I$9:$I$773,'1 stopień 20_21'!$G$9:$G$773,D79,'1 stopień 20_21'!$K$9:$K$773,"CKZ Oleśnica")</f>
        <v>0</v>
      </c>
      <c r="N79" s="104">
        <f>SUMIFS('1 stopień 20_21'!$I$9:$I$773,'1 stopień 20_21'!$G$9:$G$773,D79,'1 stopień 20_21'!$K$9:$K$773,"CKZ Świdnica")</f>
        <v>0</v>
      </c>
      <c r="O79" s="104">
        <f>SUMIFS('1 stopień 20_21'!$I$9:$I$773,'1 stopień 20_21'!$G$9:$G$773,D79,'1 stopień 20_21'!$K$9:$K$773,"CKZ Wołów")</f>
        <v>0</v>
      </c>
      <c r="P79" s="104">
        <f>SUMIFS('1 stopień 20_21'!$I$9:$I$773,'1 stopień 20_21'!$G$9:$G$773,D79,'1 stopień 20_21'!$K$9:$K$773,"CKZ Ziębice")</f>
        <v>0</v>
      </c>
      <c r="Q79" s="104">
        <f>SUMIFS('1 stopień 20_21'!$I$9:$I$773,'1 stopień 20_21'!$G$9:$G$773,D79,'1 stopień 20_21'!$K$9:$K$773,"CKZ Dobrodzień")</f>
        <v>0</v>
      </c>
      <c r="R79" s="104">
        <f>SUMIFS('1 stopień 20_21'!$I$9:$I$773,'1 stopień 20_21'!$G$9:$G$773,D79,'1 stopień 20_21'!$K$9:$K$773,"CKZ Głubczyce")</f>
        <v>0</v>
      </c>
      <c r="S79" s="104">
        <f>SUMIFS('1 stopień 20_21'!$I$9:$I$773,'1 stopień 20_21'!$G$9:$G$773,D79,'1 stopień 20_21'!$K$9:$K$773,"CKZ Kędzierzyn Kożle")</f>
        <v>0</v>
      </c>
      <c r="T79" s="104">
        <f>SUMIFS('1 stopień 20_21'!$I$9:$I$773,'1 stopień 20_21'!$G$9:$G$773,D79,'1 stopień 20_21'!$K$9:$K$773,"CKZ Kluczbork")</f>
        <v>0</v>
      </c>
      <c r="U79" s="104">
        <f>SUMIFS('1 stopień 20_21'!$I$9:$I$773,'1 stopień 20_21'!$G$9:$G$773,D79,'1 stopień 20_21'!$K$9:$K$773,"CKZ Krotoszyn")</f>
        <v>0</v>
      </c>
      <c r="V79" s="104">
        <f>SUMIFS('1 stopień 20_21'!$I$9:$I$773,'1 stopień 20_21'!$G$9:$G$773,D79,'1 stopień 20_21'!$K$9:$K$773,"CKZ Olkusz")</f>
        <v>0</v>
      </c>
      <c r="W79" s="104">
        <f>SUMIFS('1 stopień 20_21'!$I$9:$I$773,'1 stopień 20_21'!$G$9:$G$773,D79,'1 stopień 20_21'!$K$9:$K$773,"CKZ Wschowa")</f>
        <v>0</v>
      </c>
      <c r="X79" s="104">
        <f>SUMIFS('1 stopień 20_21'!$I$9:$I$773,'1 stopień 20_21'!$G$9:$G$773,D79,'1 stopień 20_21'!$K$9:$K$773,"CKZ Zielona Góra")</f>
        <v>0</v>
      </c>
      <c r="Y79" s="104">
        <f>SUMIFS('1 stopień 20_21'!$I$9:$I$773,'1 stopień 20_21'!$G$9:$G$773,D79,'1 stopień 20_21'!$K$9:$K$773,"Rzemieślnicza Wałbrzych")</f>
        <v>0</v>
      </c>
      <c r="Z79" s="104">
        <f>SUMIFS('1 stopień 20_21'!$I$9:$I$773,'1 stopień 20_21'!$G$9:$G$773,D79,'1 stopień 20_21'!$K$9:$K$773,"CKZ Mosina")</f>
        <v>0</v>
      </c>
      <c r="AA79" s="104">
        <f>SUMIFS('1 stopień 20_21'!$I$9:$I$773,'1 stopień 20_21'!$G$9:$G$773,D79,'1 stopień 20_21'!$K$9:$K$773,"CKZ Słupsk")</f>
        <v>0</v>
      </c>
      <c r="AB79" s="104">
        <f>SUMIFS('1 stopień 20_21'!$I$9:$I$773,'1 stopień 20_21'!$G$9:$G$773,D79,'1 stopień 20_21'!$K$9:$K$773,"Toyota")</f>
        <v>0</v>
      </c>
      <c r="AC79" s="104">
        <f>SUMIFS('1 stopień 20_21'!$I$9:$I$773,'1 stopień 20_21'!$G$9:$G$773,D79,'1 stopień 20_21'!$K$9:$K$773,"CKZ Wrocław")</f>
        <v>0</v>
      </c>
      <c r="AD79" s="104">
        <f>SUMIFS('1 stopień 20_21'!$I$9:$I$773,'1 stopień 20_21'!$G$9:$G$773,D79,'1 stopień 20_21'!$K$9:$K$773,"CKZ Opole")</f>
        <v>0</v>
      </c>
      <c r="AE79" s="104">
        <f>SUMIFS('1 stopień 20_21'!$I$9:$I$773,'1 stopień 20_21'!$G$9:$G$773,D79,'1 stopień 20_21'!$K$9:$K$773,"Chojnów")</f>
        <v>0</v>
      </c>
      <c r="AF79" s="104">
        <f>SUMIFS('1 stopień 20_21'!$I$9:$I$773,'1 stopień 20_21'!$G$9:$G$773,D79,'1 stopień 20_21'!$K$9:$K$773,"")</f>
        <v>0</v>
      </c>
      <c r="AG79" s="105">
        <f t="shared" si="2"/>
        <v>0</v>
      </c>
    </row>
    <row r="80" spans="2:33">
      <c r="B80" s="106" t="s">
        <v>644</v>
      </c>
      <c r="C80" s="107">
        <v>815204</v>
      </c>
      <c r="D80" s="107" t="s">
        <v>1394</v>
      </c>
      <c r="E80" s="106" t="s">
        <v>802</v>
      </c>
      <c r="F80" s="103">
        <f>SUMIF('1 stopień 20_21'!G$9:G$773,D80,'1 stopień 20_21'!I$9:I$773)</f>
        <v>0</v>
      </c>
      <c r="G80" s="104">
        <f>SUMIFS('1 stopień 20_21'!$I$9:$I$773,'1 stopień 20_21'!$G$9:$G$773,D80,'1 stopień 20_21'!$K$9:$K$773,"CKZ Bielawa")</f>
        <v>0</v>
      </c>
      <c r="H80" s="104">
        <f>SUMIFS('1 stopień 20_21'!$I$9:$I$773,'1 stopień 20_21'!$G$9:$G$773,D80,'1 stopień 20_21'!$K$9:$K$773,"GCKZ Głogów")</f>
        <v>0</v>
      </c>
      <c r="I80" s="104">
        <f>SUMIFS('1 stopień 20_21'!$I$9:$I$773,'1 stopień 20_21'!$G$9:$G$773,D80,'1 stopień 20_21'!$K$9:$K$773,"CKZ Jawor")</f>
        <v>0</v>
      </c>
      <c r="J80" s="104">
        <f>SUMIFS('1 stopień 20_21'!$I$9:$I$773,'1 stopień 20_21'!$G$9:$G$773,D80,'1 stopień 20_21'!$K$9:$K$773,"JCKZ Jelenia Góra")</f>
        <v>0</v>
      </c>
      <c r="K80" s="104">
        <f>SUMIFS('1 stopień 20_21'!$I$9:$I$773,'1 stopień 20_21'!$G$9:$G$773,D80,'1 stopień 20_21'!$K$9:$K$773,"CKZ Kłodzko")</f>
        <v>0</v>
      </c>
      <c r="L80" s="104">
        <f>SUMIFS('1 stopień 20_21'!$I$9:$I$773,'1 stopień 20_21'!$G$9:$G$773,D80,'1 stopień 20_21'!$K$9:$K$773,"CKZ Legnica")</f>
        <v>0</v>
      </c>
      <c r="M80" s="104">
        <f>SUMIFS('1 stopień 20_21'!$I$9:$I$773,'1 stopień 20_21'!$G$9:$G$773,D80,'1 stopień 20_21'!$K$9:$K$773,"CKZ Oleśnica")</f>
        <v>0</v>
      </c>
      <c r="N80" s="104">
        <f>SUMIFS('1 stopień 20_21'!$I$9:$I$773,'1 stopień 20_21'!$G$9:$G$773,D80,'1 stopień 20_21'!$K$9:$K$773,"CKZ Świdnica")</f>
        <v>0</v>
      </c>
      <c r="O80" s="104">
        <f>SUMIFS('1 stopień 20_21'!$I$9:$I$773,'1 stopień 20_21'!$G$9:$G$773,D80,'1 stopień 20_21'!$K$9:$K$773,"CKZ Wołów")</f>
        <v>0</v>
      </c>
      <c r="P80" s="104">
        <f>SUMIFS('1 stopień 20_21'!$I$9:$I$773,'1 stopień 20_21'!$G$9:$G$773,D80,'1 stopień 20_21'!$K$9:$K$773,"CKZ Ziębice")</f>
        <v>0</v>
      </c>
      <c r="Q80" s="104">
        <f>SUMIFS('1 stopień 20_21'!$I$9:$I$773,'1 stopień 20_21'!$G$9:$G$773,D80,'1 stopień 20_21'!$K$9:$K$773,"CKZ Dobrodzień")</f>
        <v>0</v>
      </c>
      <c r="R80" s="104">
        <f>SUMIFS('1 stopień 20_21'!$I$9:$I$773,'1 stopień 20_21'!$G$9:$G$773,D80,'1 stopień 20_21'!$K$9:$K$773,"CKZ Głubczyce")</f>
        <v>0</v>
      </c>
      <c r="S80" s="104">
        <f>SUMIFS('1 stopień 20_21'!$I$9:$I$773,'1 stopień 20_21'!$G$9:$G$773,D80,'1 stopień 20_21'!$K$9:$K$773,"CKZ Kędzierzyn Kożle")</f>
        <v>0</v>
      </c>
      <c r="T80" s="104">
        <f>SUMIFS('1 stopień 20_21'!$I$9:$I$773,'1 stopień 20_21'!$G$9:$G$773,D80,'1 stopień 20_21'!$K$9:$K$773,"CKZ Kluczbork")</f>
        <v>0</v>
      </c>
      <c r="U80" s="104">
        <f>SUMIFS('1 stopień 20_21'!$I$9:$I$773,'1 stopień 20_21'!$G$9:$G$773,D80,'1 stopień 20_21'!$K$9:$K$773,"CKZ Krotoszyn")</f>
        <v>0</v>
      </c>
      <c r="V80" s="104">
        <f>SUMIFS('1 stopień 20_21'!$I$9:$I$773,'1 stopień 20_21'!$G$9:$G$773,D80,'1 stopień 20_21'!$K$9:$K$773,"CKZ Olkusz")</f>
        <v>0</v>
      </c>
      <c r="W80" s="104">
        <f>SUMIFS('1 stopień 20_21'!$I$9:$I$773,'1 stopień 20_21'!$G$9:$G$773,D80,'1 stopień 20_21'!$K$9:$K$773,"CKZ Wschowa")</f>
        <v>0</v>
      </c>
      <c r="X80" s="104">
        <f>SUMIFS('1 stopień 20_21'!$I$9:$I$773,'1 stopień 20_21'!$G$9:$G$773,D80,'1 stopień 20_21'!$K$9:$K$773,"CKZ Zielona Góra")</f>
        <v>0</v>
      </c>
      <c r="Y80" s="104">
        <f>SUMIFS('1 stopień 20_21'!$I$9:$I$773,'1 stopień 20_21'!$G$9:$G$773,D80,'1 stopień 20_21'!$K$9:$K$773,"Rzemieślnicza Wałbrzych")</f>
        <v>0</v>
      </c>
      <c r="Z80" s="104">
        <f>SUMIFS('1 stopień 20_21'!$I$9:$I$773,'1 stopień 20_21'!$G$9:$G$773,D80,'1 stopień 20_21'!$K$9:$K$773,"CKZ Mosina")</f>
        <v>0</v>
      </c>
      <c r="AA80" s="104">
        <f>SUMIFS('1 stopień 20_21'!$I$9:$I$773,'1 stopień 20_21'!$G$9:$G$773,D80,'1 stopień 20_21'!$K$9:$K$773,"CKZ Słupsk")</f>
        <v>0</v>
      </c>
      <c r="AB80" s="104">
        <f>SUMIFS('1 stopień 20_21'!$I$9:$I$773,'1 stopień 20_21'!$G$9:$G$773,D80,'1 stopień 20_21'!$K$9:$K$773,"Toyota")</f>
        <v>0</v>
      </c>
      <c r="AC80" s="104">
        <f>SUMIFS('1 stopień 20_21'!$I$9:$I$773,'1 stopień 20_21'!$G$9:$G$773,D80,'1 stopień 20_21'!$K$9:$K$773,"CKZ Wrocław")</f>
        <v>0</v>
      </c>
      <c r="AD80" s="104">
        <f>SUMIFS('1 stopień 20_21'!$I$9:$I$773,'1 stopień 20_21'!$G$9:$G$773,D80,'1 stopień 20_21'!$K$9:$K$773,"CKZ Opole")</f>
        <v>0</v>
      </c>
      <c r="AE80" s="104">
        <f>SUMIFS('1 stopień 20_21'!$I$9:$I$773,'1 stopień 20_21'!$G$9:$G$773,D80,'1 stopień 20_21'!$K$9:$K$773,"Chojnów")</f>
        <v>0</v>
      </c>
      <c r="AF80" s="104">
        <f>SUMIFS('1 stopień 20_21'!$I$9:$I$773,'1 stopień 20_21'!$G$9:$G$773,D80,'1 stopień 20_21'!$K$9:$K$773,"")</f>
        <v>0</v>
      </c>
      <c r="AG80" s="105">
        <f t="shared" si="2"/>
        <v>0</v>
      </c>
    </row>
    <row r="81" spans="2:33">
      <c r="B81" s="106" t="s">
        <v>645</v>
      </c>
      <c r="C81" s="107">
        <v>932915</v>
      </c>
      <c r="D81" s="107" t="s">
        <v>1395</v>
      </c>
      <c r="E81" s="106" t="s">
        <v>800</v>
      </c>
      <c r="F81" s="103">
        <f>SUMIF('1 stopień 20_21'!G$9:G$773,D81,'1 stopień 20_21'!I$9:I$773)</f>
        <v>0</v>
      </c>
      <c r="G81" s="104">
        <f>SUMIFS('1 stopień 20_21'!$I$9:$I$773,'1 stopień 20_21'!$G$9:$G$773,D81,'1 stopień 20_21'!$K$9:$K$773,"CKZ Bielawa")</f>
        <v>0</v>
      </c>
      <c r="H81" s="104">
        <f>SUMIFS('1 stopień 20_21'!$I$9:$I$773,'1 stopień 20_21'!$G$9:$G$773,D81,'1 stopień 20_21'!$K$9:$K$773,"GCKZ Głogów")</f>
        <v>0</v>
      </c>
      <c r="I81" s="104">
        <f>SUMIFS('1 stopień 20_21'!$I$9:$I$773,'1 stopień 20_21'!$G$9:$G$773,D81,'1 stopień 20_21'!$K$9:$K$773,"CKZ Jawor")</f>
        <v>0</v>
      </c>
      <c r="J81" s="104">
        <f>SUMIFS('1 stopień 20_21'!$I$9:$I$773,'1 stopień 20_21'!$G$9:$G$773,D81,'1 stopień 20_21'!$K$9:$K$773,"JCKZ Jelenia Góra")</f>
        <v>0</v>
      </c>
      <c r="K81" s="104">
        <f>SUMIFS('1 stopień 20_21'!$I$9:$I$773,'1 stopień 20_21'!$G$9:$G$773,D81,'1 stopień 20_21'!$K$9:$K$773,"CKZ Kłodzko")</f>
        <v>0</v>
      </c>
      <c r="L81" s="104">
        <f>SUMIFS('1 stopień 20_21'!$I$9:$I$773,'1 stopień 20_21'!$G$9:$G$773,D81,'1 stopień 20_21'!$K$9:$K$773,"CKZ Legnica")</f>
        <v>0</v>
      </c>
      <c r="M81" s="104">
        <f>SUMIFS('1 stopień 20_21'!$I$9:$I$773,'1 stopień 20_21'!$G$9:$G$773,D81,'1 stopień 20_21'!$K$9:$K$773,"CKZ Oleśnica")</f>
        <v>0</v>
      </c>
      <c r="N81" s="104">
        <f>SUMIFS('1 stopień 20_21'!$I$9:$I$773,'1 stopień 20_21'!$G$9:$G$773,D81,'1 stopień 20_21'!$K$9:$K$773,"CKZ Świdnica")</f>
        <v>0</v>
      </c>
      <c r="O81" s="104">
        <f>SUMIFS('1 stopień 20_21'!$I$9:$I$773,'1 stopień 20_21'!$G$9:$G$773,D81,'1 stopień 20_21'!$K$9:$K$773,"CKZ Wołów")</f>
        <v>0</v>
      </c>
      <c r="P81" s="104">
        <f>SUMIFS('1 stopień 20_21'!$I$9:$I$773,'1 stopień 20_21'!$G$9:$G$773,D81,'1 stopień 20_21'!$K$9:$K$773,"CKZ Ziębice")</f>
        <v>0</v>
      </c>
      <c r="Q81" s="104">
        <f>SUMIFS('1 stopień 20_21'!$I$9:$I$773,'1 stopień 20_21'!$G$9:$G$773,D81,'1 stopień 20_21'!$K$9:$K$773,"CKZ Dobrodzień")</f>
        <v>0</v>
      </c>
      <c r="R81" s="104">
        <f>SUMIFS('1 stopień 20_21'!$I$9:$I$773,'1 stopień 20_21'!$G$9:$G$773,D81,'1 stopień 20_21'!$K$9:$K$773,"CKZ Głubczyce")</f>
        <v>0</v>
      </c>
      <c r="S81" s="104">
        <f>SUMIFS('1 stopień 20_21'!$I$9:$I$773,'1 stopień 20_21'!$G$9:$G$773,D81,'1 stopień 20_21'!$K$9:$K$773,"CKZ Kędzierzyn Kożle")</f>
        <v>0</v>
      </c>
      <c r="T81" s="104">
        <f>SUMIFS('1 stopień 20_21'!$I$9:$I$773,'1 stopień 20_21'!$G$9:$G$773,D81,'1 stopień 20_21'!$K$9:$K$773,"CKZ Kluczbork")</f>
        <v>0</v>
      </c>
      <c r="U81" s="104">
        <f>SUMIFS('1 stopień 20_21'!$I$9:$I$773,'1 stopień 20_21'!$G$9:$G$773,D81,'1 stopień 20_21'!$K$9:$K$773,"CKZ Krotoszyn")</f>
        <v>0</v>
      </c>
      <c r="V81" s="104">
        <f>SUMIFS('1 stopień 20_21'!$I$9:$I$773,'1 stopień 20_21'!$G$9:$G$773,D81,'1 stopień 20_21'!$K$9:$K$773,"CKZ Olkusz")</f>
        <v>0</v>
      </c>
      <c r="W81" s="104">
        <f>SUMIFS('1 stopień 20_21'!$I$9:$I$773,'1 stopień 20_21'!$G$9:$G$773,D81,'1 stopień 20_21'!$K$9:$K$773,"CKZ Wschowa")</f>
        <v>0</v>
      </c>
      <c r="X81" s="104">
        <f>SUMIFS('1 stopień 20_21'!$I$9:$I$773,'1 stopień 20_21'!$G$9:$G$773,D81,'1 stopień 20_21'!$K$9:$K$773,"CKZ Zielona Góra")</f>
        <v>0</v>
      </c>
      <c r="Y81" s="104">
        <f>SUMIFS('1 stopień 20_21'!$I$9:$I$773,'1 stopień 20_21'!$G$9:$G$773,D81,'1 stopień 20_21'!$K$9:$K$773,"Rzemieślnicza Wałbrzych")</f>
        <v>0</v>
      </c>
      <c r="Z81" s="104">
        <f>SUMIFS('1 stopień 20_21'!$I$9:$I$773,'1 stopień 20_21'!$G$9:$G$773,D81,'1 stopień 20_21'!$K$9:$K$773,"CKZ Mosina")</f>
        <v>0</v>
      </c>
      <c r="AA81" s="104">
        <f>SUMIFS('1 stopień 20_21'!$I$9:$I$773,'1 stopień 20_21'!$G$9:$G$773,D81,'1 stopień 20_21'!$K$9:$K$773,"CKZ Słupsk")</f>
        <v>0</v>
      </c>
      <c r="AB81" s="104">
        <f>SUMIFS('1 stopień 20_21'!$I$9:$I$773,'1 stopień 20_21'!$G$9:$G$773,D81,'1 stopień 20_21'!$K$9:$K$773,"Toyota")</f>
        <v>0</v>
      </c>
      <c r="AC81" s="104">
        <f>SUMIFS('1 stopień 20_21'!$I$9:$I$773,'1 stopień 20_21'!$G$9:$G$773,D81,'1 stopień 20_21'!$K$9:$K$773,"CKZ Wrocław")</f>
        <v>0</v>
      </c>
      <c r="AD81" s="104">
        <f>SUMIFS('1 stopień 20_21'!$I$9:$I$773,'1 stopień 20_21'!$G$9:$G$773,D81,'1 stopień 20_21'!$K$9:$K$773,"CKZ Opole")</f>
        <v>0</v>
      </c>
      <c r="AE81" s="104">
        <f>SUMIFS('1 stopień 20_21'!$I$9:$I$773,'1 stopień 20_21'!$G$9:$G$773,D81,'1 stopień 20_21'!$K$9:$K$773,"Chojnów")</f>
        <v>0</v>
      </c>
      <c r="AF81" s="104">
        <f>SUMIFS('1 stopień 20_21'!$I$9:$I$773,'1 stopień 20_21'!$G$9:$G$773,D81,'1 stopień 20_21'!$K$9:$K$773,"")</f>
        <v>0</v>
      </c>
      <c r="AG81" s="105">
        <f t="shared" si="2"/>
        <v>0</v>
      </c>
    </row>
    <row r="82" spans="2:33">
      <c r="B82" s="106" t="s">
        <v>646</v>
      </c>
      <c r="C82" s="107">
        <v>731808</v>
      </c>
      <c r="D82" s="107" t="s">
        <v>1396</v>
      </c>
      <c r="E82" s="106" t="s">
        <v>798</v>
      </c>
      <c r="F82" s="103">
        <f>SUMIF('1 stopień 20_21'!G$9:G$773,D82,'1 stopień 20_21'!I$9:I$773)</f>
        <v>0</v>
      </c>
      <c r="G82" s="104">
        <f>SUMIFS('1 stopień 20_21'!$I$9:$I$773,'1 stopień 20_21'!$G$9:$G$773,D82,'1 stopień 20_21'!$K$9:$K$773,"CKZ Bielawa")</f>
        <v>0</v>
      </c>
      <c r="H82" s="104">
        <f>SUMIFS('1 stopień 20_21'!$I$9:$I$773,'1 stopień 20_21'!$G$9:$G$773,D82,'1 stopień 20_21'!$K$9:$K$773,"GCKZ Głogów")</f>
        <v>0</v>
      </c>
      <c r="I82" s="104">
        <f>SUMIFS('1 stopień 20_21'!$I$9:$I$773,'1 stopień 20_21'!$G$9:$G$773,D82,'1 stopień 20_21'!$K$9:$K$773,"CKZ Jawor")</f>
        <v>0</v>
      </c>
      <c r="J82" s="104">
        <f>SUMIFS('1 stopień 20_21'!$I$9:$I$773,'1 stopień 20_21'!$G$9:$G$773,D82,'1 stopień 20_21'!$K$9:$K$773,"JCKZ Jelenia Góra")</f>
        <v>0</v>
      </c>
      <c r="K82" s="104">
        <f>SUMIFS('1 stopień 20_21'!$I$9:$I$773,'1 stopień 20_21'!$G$9:$G$773,D82,'1 stopień 20_21'!$K$9:$K$773,"CKZ Kłodzko")</f>
        <v>0</v>
      </c>
      <c r="L82" s="104">
        <f>SUMIFS('1 stopień 20_21'!$I$9:$I$773,'1 stopień 20_21'!$G$9:$G$773,D82,'1 stopień 20_21'!$K$9:$K$773,"CKZ Legnica")</f>
        <v>0</v>
      </c>
      <c r="M82" s="104">
        <f>SUMIFS('1 stopień 20_21'!$I$9:$I$773,'1 stopień 20_21'!$G$9:$G$773,D82,'1 stopień 20_21'!$K$9:$K$773,"CKZ Oleśnica")</f>
        <v>0</v>
      </c>
      <c r="N82" s="104">
        <f>SUMIFS('1 stopień 20_21'!$I$9:$I$773,'1 stopień 20_21'!$G$9:$G$773,D82,'1 stopień 20_21'!$K$9:$K$773,"CKZ Świdnica")</f>
        <v>0</v>
      </c>
      <c r="O82" s="104">
        <f>SUMIFS('1 stopień 20_21'!$I$9:$I$773,'1 stopień 20_21'!$G$9:$G$773,D82,'1 stopień 20_21'!$K$9:$K$773,"CKZ Wołów")</f>
        <v>0</v>
      </c>
      <c r="P82" s="104">
        <f>SUMIFS('1 stopień 20_21'!$I$9:$I$773,'1 stopień 20_21'!$G$9:$G$773,D82,'1 stopień 20_21'!$K$9:$K$773,"CKZ Ziębice")</f>
        <v>0</v>
      </c>
      <c r="Q82" s="104">
        <f>SUMIFS('1 stopień 20_21'!$I$9:$I$773,'1 stopień 20_21'!$G$9:$G$773,D82,'1 stopień 20_21'!$K$9:$K$773,"CKZ Dobrodzień")</f>
        <v>0</v>
      </c>
      <c r="R82" s="104">
        <f>SUMIFS('1 stopień 20_21'!$I$9:$I$773,'1 stopień 20_21'!$G$9:$G$773,D82,'1 stopień 20_21'!$K$9:$K$773,"CKZ Głubczyce")</f>
        <v>0</v>
      </c>
      <c r="S82" s="104">
        <f>SUMIFS('1 stopień 20_21'!$I$9:$I$773,'1 stopień 20_21'!$G$9:$G$773,D82,'1 stopień 20_21'!$K$9:$K$773,"CKZ Kędzierzyn Kożle")</f>
        <v>0</v>
      </c>
      <c r="T82" s="104">
        <f>SUMIFS('1 stopień 20_21'!$I$9:$I$773,'1 stopień 20_21'!$G$9:$G$773,D82,'1 stopień 20_21'!$K$9:$K$773,"CKZ Kluczbork")</f>
        <v>0</v>
      </c>
      <c r="U82" s="104">
        <f>SUMIFS('1 stopień 20_21'!$I$9:$I$773,'1 stopień 20_21'!$G$9:$G$773,D82,'1 stopień 20_21'!$K$9:$K$773,"CKZ Krotoszyn")</f>
        <v>0</v>
      </c>
      <c r="V82" s="104">
        <f>SUMIFS('1 stopień 20_21'!$I$9:$I$773,'1 stopień 20_21'!$G$9:$G$773,D82,'1 stopień 20_21'!$K$9:$K$773,"CKZ Olkusz")</f>
        <v>0</v>
      </c>
      <c r="W82" s="104">
        <f>SUMIFS('1 stopień 20_21'!$I$9:$I$773,'1 stopień 20_21'!$G$9:$G$773,D82,'1 stopień 20_21'!$K$9:$K$773,"CKZ Wschowa")</f>
        <v>0</v>
      </c>
      <c r="X82" s="104">
        <f>SUMIFS('1 stopień 20_21'!$I$9:$I$773,'1 stopień 20_21'!$G$9:$G$773,D82,'1 stopień 20_21'!$K$9:$K$773,"CKZ Zielona Góra")</f>
        <v>0</v>
      </c>
      <c r="Y82" s="104">
        <f>SUMIFS('1 stopień 20_21'!$I$9:$I$773,'1 stopień 20_21'!$G$9:$G$773,D82,'1 stopień 20_21'!$K$9:$K$773,"Rzemieślnicza Wałbrzych")</f>
        <v>0</v>
      </c>
      <c r="Z82" s="104">
        <f>SUMIFS('1 stopień 20_21'!$I$9:$I$773,'1 stopień 20_21'!$G$9:$G$773,D82,'1 stopień 20_21'!$K$9:$K$773,"CKZ Mosina")</f>
        <v>0</v>
      </c>
      <c r="AA82" s="104">
        <f>SUMIFS('1 stopień 20_21'!$I$9:$I$773,'1 stopień 20_21'!$G$9:$G$773,D82,'1 stopień 20_21'!$K$9:$K$773,"CKZ Słupsk")</f>
        <v>0</v>
      </c>
      <c r="AB82" s="104">
        <f>SUMIFS('1 stopień 20_21'!$I$9:$I$773,'1 stopień 20_21'!$G$9:$G$773,D82,'1 stopień 20_21'!$K$9:$K$773,"Toyota")</f>
        <v>0</v>
      </c>
      <c r="AC82" s="104">
        <f>SUMIFS('1 stopień 20_21'!$I$9:$I$773,'1 stopień 20_21'!$G$9:$G$773,D82,'1 stopień 20_21'!$K$9:$K$773,"CKZ Wrocław")</f>
        <v>0</v>
      </c>
      <c r="AD82" s="104">
        <f>SUMIFS('1 stopień 20_21'!$I$9:$I$773,'1 stopień 20_21'!$G$9:$G$773,D82,'1 stopień 20_21'!$K$9:$K$773,"CKZ Opole")</f>
        <v>0</v>
      </c>
      <c r="AE82" s="104">
        <f>SUMIFS('1 stopień 20_21'!$I$9:$I$773,'1 stopień 20_21'!$G$9:$G$773,D82,'1 stopień 20_21'!$K$9:$K$773,"Chojnów")</f>
        <v>0</v>
      </c>
      <c r="AF82" s="104">
        <f>SUMIFS('1 stopień 20_21'!$I$9:$I$773,'1 stopień 20_21'!$G$9:$G$773,D82,'1 stopień 20_21'!$K$9:$K$773,"")</f>
        <v>0</v>
      </c>
      <c r="AG82" s="105">
        <f t="shared" si="2"/>
        <v>0</v>
      </c>
    </row>
    <row r="83" spans="2:33">
      <c r="B83" s="106" t="s">
        <v>647</v>
      </c>
      <c r="C83" s="107">
        <v>516408</v>
      </c>
      <c r="D83" s="107" t="s">
        <v>1397</v>
      </c>
      <c r="E83" s="106" t="s">
        <v>796</v>
      </c>
      <c r="F83" s="103">
        <f>SUMIF('1 stopień 20_21'!G$9:G$773,D83,'1 stopień 20_21'!I$9:I$773)</f>
        <v>0</v>
      </c>
      <c r="G83" s="104">
        <f>SUMIFS('1 stopień 20_21'!$I$9:$I$773,'1 stopień 20_21'!$G$9:$G$773,D83,'1 stopień 20_21'!$K$9:$K$773,"CKZ Bielawa")</f>
        <v>0</v>
      </c>
      <c r="H83" s="104">
        <f>SUMIFS('1 stopień 20_21'!$I$9:$I$773,'1 stopień 20_21'!$G$9:$G$773,D83,'1 stopień 20_21'!$K$9:$K$773,"GCKZ Głogów")</f>
        <v>0</v>
      </c>
      <c r="I83" s="104">
        <f>SUMIFS('1 stopień 20_21'!$I$9:$I$773,'1 stopień 20_21'!$G$9:$G$773,D83,'1 stopień 20_21'!$K$9:$K$773,"CKZ Jawor")</f>
        <v>0</v>
      </c>
      <c r="J83" s="104">
        <f>SUMIFS('1 stopień 20_21'!$I$9:$I$773,'1 stopień 20_21'!$G$9:$G$773,D83,'1 stopień 20_21'!$K$9:$K$773,"JCKZ Jelenia Góra")</f>
        <v>0</v>
      </c>
      <c r="K83" s="104">
        <f>SUMIFS('1 stopień 20_21'!$I$9:$I$773,'1 stopień 20_21'!$G$9:$G$773,D83,'1 stopień 20_21'!$K$9:$K$773,"CKZ Kłodzko")</f>
        <v>0</v>
      </c>
      <c r="L83" s="104">
        <f>SUMIFS('1 stopień 20_21'!$I$9:$I$773,'1 stopień 20_21'!$G$9:$G$773,D83,'1 stopień 20_21'!$K$9:$K$773,"CKZ Legnica")</f>
        <v>0</v>
      </c>
      <c r="M83" s="104">
        <f>SUMIFS('1 stopień 20_21'!$I$9:$I$773,'1 stopień 20_21'!$G$9:$G$773,D83,'1 stopień 20_21'!$K$9:$K$773,"CKZ Oleśnica")</f>
        <v>0</v>
      </c>
      <c r="N83" s="104">
        <f>SUMIFS('1 stopień 20_21'!$I$9:$I$773,'1 stopień 20_21'!$G$9:$G$773,D83,'1 stopień 20_21'!$K$9:$K$773,"CKZ Świdnica")</f>
        <v>0</v>
      </c>
      <c r="O83" s="104">
        <f>SUMIFS('1 stopień 20_21'!$I$9:$I$773,'1 stopień 20_21'!$G$9:$G$773,D83,'1 stopień 20_21'!$K$9:$K$773,"CKZ Wołów")</f>
        <v>0</v>
      </c>
      <c r="P83" s="104">
        <f>SUMIFS('1 stopień 20_21'!$I$9:$I$773,'1 stopień 20_21'!$G$9:$G$773,D83,'1 stopień 20_21'!$K$9:$K$773,"CKZ Ziębice")</f>
        <v>0</v>
      </c>
      <c r="Q83" s="104">
        <f>SUMIFS('1 stopień 20_21'!$I$9:$I$773,'1 stopień 20_21'!$G$9:$G$773,D83,'1 stopień 20_21'!$K$9:$K$773,"CKZ Dobrodzień")</f>
        <v>0</v>
      </c>
      <c r="R83" s="104">
        <f>SUMIFS('1 stopień 20_21'!$I$9:$I$773,'1 stopień 20_21'!$G$9:$G$773,D83,'1 stopień 20_21'!$K$9:$K$773,"CKZ Głubczyce")</f>
        <v>0</v>
      </c>
      <c r="S83" s="104">
        <f>SUMIFS('1 stopień 20_21'!$I$9:$I$773,'1 stopień 20_21'!$G$9:$G$773,D83,'1 stopień 20_21'!$K$9:$K$773,"CKZ Kędzierzyn Kożle")</f>
        <v>0</v>
      </c>
      <c r="T83" s="104">
        <f>SUMIFS('1 stopień 20_21'!$I$9:$I$773,'1 stopień 20_21'!$G$9:$G$773,D83,'1 stopień 20_21'!$K$9:$K$773,"CKZ Kluczbork")</f>
        <v>0</v>
      </c>
      <c r="U83" s="104">
        <f>SUMIFS('1 stopień 20_21'!$I$9:$I$773,'1 stopień 20_21'!$G$9:$G$773,D83,'1 stopień 20_21'!$K$9:$K$773,"CKZ Krotoszyn")</f>
        <v>0</v>
      </c>
      <c r="V83" s="104">
        <f>SUMIFS('1 stopień 20_21'!$I$9:$I$773,'1 stopień 20_21'!$G$9:$G$773,D83,'1 stopień 20_21'!$K$9:$K$773,"CKZ Olkusz")</f>
        <v>0</v>
      </c>
      <c r="W83" s="104">
        <f>SUMIFS('1 stopień 20_21'!$I$9:$I$773,'1 stopień 20_21'!$G$9:$G$773,D83,'1 stopień 20_21'!$K$9:$K$773,"CKZ Wschowa")</f>
        <v>0</v>
      </c>
      <c r="X83" s="104">
        <f>SUMIFS('1 stopień 20_21'!$I$9:$I$773,'1 stopień 20_21'!$G$9:$G$773,D83,'1 stopień 20_21'!$K$9:$K$773,"CKZ Zielona Góra")</f>
        <v>0</v>
      </c>
      <c r="Y83" s="104">
        <f>SUMIFS('1 stopień 20_21'!$I$9:$I$773,'1 stopień 20_21'!$G$9:$G$773,D83,'1 stopień 20_21'!$K$9:$K$773,"Rzemieślnicza Wałbrzych")</f>
        <v>0</v>
      </c>
      <c r="Z83" s="104">
        <f>SUMIFS('1 stopień 20_21'!$I$9:$I$773,'1 stopień 20_21'!$G$9:$G$773,D83,'1 stopień 20_21'!$K$9:$K$773,"CKZ Mosina")</f>
        <v>0</v>
      </c>
      <c r="AA83" s="104">
        <f>SUMIFS('1 stopień 20_21'!$I$9:$I$773,'1 stopień 20_21'!$G$9:$G$773,D83,'1 stopień 20_21'!$K$9:$K$773,"CKZ Słupsk")</f>
        <v>0</v>
      </c>
      <c r="AB83" s="104">
        <f>SUMIFS('1 stopień 20_21'!$I$9:$I$773,'1 stopień 20_21'!$G$9:$G$773,D83,'1 stopień 20_21'!$K$9:$K$773,"Toyota")</f>
        <v>0</v>
      </c>
      <c r="AC83" s="104">
        <f>SUMIFS('1 stopień 20_21'!$I$9:$I$773,'1 stopień 20_21'!$G$9:$G$773,D83,'1 stopień 20_21'!$K$9:$K$773,"CKZ Wrocław")</f>
        <v>0</v>
      </c>
      <c r="AD83" s="104">
        <f>SUMIFS('1 stopień 20_21'!$I$9:$I$773,'1 stopień 20_21'!$G$9:$G$773,D83,'1 stopień 20_21'!$K$9:$K$773,"CKZ Opole")</f>
        <v>0</v>
      </c>
      <c r="AE83" s="104">
        <f>SUMIFS('1 stopień 20_21'!$I$9:$I$773,'1 stopień 20_21'!$G$9:$G$773,D83,'1 stopień 20_21'!$K$9:$K$773,"Chojnów")</f>
        <v>0</v>
      </c>
      <c r="AF83" s="104">
        <f>SUMIFS('1 stopień 20_21'!$I$9:$I$773,'1 stopień 20_21'!$G$9:$G$773,D83,'1 stopień 20_21'!$K$9:$K$773,"")</f>
        <v>0</v>
      </c>
      <c r="AG83" s="105">
        <f t="shared" si="2"/>
        <v>0</v>
      </c>
    </row>
    <row r="84" spans="2:33">
      <c r="B84" s="106" t="s">
        <v>241</v>
      </c>
      <c r="C84" s="107">
        <v>834103</v>
      </c>
      <c r="D84" s="107" t="s">
        <v>186</v>
      </c>
      <c r="E84" s="106" t="s">
        <v>795</v>
      </c>
      <c r="F84" s="103">
        <f>SUMIF('1 stopień 20_21'!G$9:G$773,D84,'1 stopień 20_21'!I$9:I$773)</f>
        <v>3</v>
      </c>
      <c r="G84" s="104">
        <f>SUMIFS('1 stopień 20_21'!$I$9:$I$773,'1 stopień 20_21'!$G$9:$G$773,D84,'1 stopień 20_21'!$K$9:$K$773,"CKZ Bielawa")</f>
        <v>0</v>
      </c>
      <c r="H84" s="104">
        <f>SUMIFS('1 stopień 20_21'!$I$9:$I$773,'1 stopień 20_21'!$G$9:$G$773,D84,'1 stopień 20_21'!$K$9:$K$773,"GCKZ Głogów")</f>
        <v>0</v>
      </c>
      <c r="I84" s="104">
        <f>SUMIFS('1 stopień 20_21'!$I$9:$I$773,'1 stopień 20_21'!$G$9:$G$773,D84,'1 stopień 20_21'!$K$9:$K$773,"CKZ Jawor")</f>
        <v>0</v>
      </c>
      <c r="J84" s="104">
        <f>SUMIFS('1 stopień 20_21'!$I$9:$I$773,'1 stopień 20_21'!$G$9:$G$773,D84,'1 stopień 20_21'!$K$9:$K$773,"JCKZ Jelenia Góra")</f>
        <v>0</v>
      </c>
      <c r="K84" s="104">
        <f>SUMIFS('1 stopień 20_21'!$I$9:$I$773,'1 stopień 20_21'!$G$9:$G$773,D84,'1 stopień 20_21'!$K$9:$K$773,"CKZ Kłodzko")</f>
        <v>0</v>
      </c>
      <c r="L84" s="104">
        <f>SUMIFS('1 stopień 20_21'!$I$9:$I$773,'1 stopień 20_21'!$G$9:$G$773,D84,'1 stopień 20_21'!$K$9:$K$773,"CKZ Legnica")</f>
        <v>0</v>
      </c>
      <c r="M84" s="104">
        <f>SUMIFS('1 stopień 20_21'!$I$9:$I$773,'1 stopień 20_21'!$G$9:$G$773,D84,'1 stopień 20_21'!$K$9:$K$773,"CKZ Oleśnica")</f>
        <v>0</v>
      </c>
      <c r="N84" s="104">
        <f>SUMIFS('1 stopień 20_21'!$I$9:$I$773,'1 stopień 20_21'!$G$9:$G$773,D84,'1 stopień 20_21'!$K$9:$K$773,"CKZ Świdnica")</f>
        <v>0</v>
      </c>
      <c r="O84" s="104">
        <f>SUMIFS('1 stopień 20_21'!$I$9:$I$773,'1 stopień 20_21'!$G$9:$G$773,D84,'1 stopień 20_21'!$K$9:$K$773,"CKZ Wołów")</f>
        <v>0</v>
      </c>
      <c r="P84" s="104">
        <f>SUMIFS('1 stopień 20_21'!$I$9:$I$773,'1 stopień 20_21'!$G$9:$G$773,D84,'1 stopień 20_21'!$K$9:$K$773,"CKZ Ziębice")</f>
        <v>0</v>
      </c>
      <c r="Q84" s="104">
        <f>SUMIFS('1 stopień 20_21'!$I$9:$I$773,'1 stopień 20_21'!$G$9:$G$773,D84,'1 stopień 20_21'!$K$9:$K$773,"CKZ Dobrodzień")</f>
        <v>0</v>
      </c>
      <c r="R84" s="104">
        <f>SUMIFS('1 stopień 20_21'!$I$9:$I$773,'1 stopień 20_21'!$G$9:$G$773,D84,'1 stopień 20_21'!$K$9:$K$773,"CKZ Głubczyce")</f>
        <v>0</v>
      </c>
      <c r="S84" s="104">
        <f>SUMIFS('1 stopień 20_21'!$I$9:$I$773,'1 stopień 20_21'!$G$9:$G$773,D84,'1 stopień 20_21'!$K$9:$K$773,"CKZ Kędzierzyn Kożle")</f>
        <v>0</v>
      </c>
      <c r="T84" s="104">
        <f>SUMIFS('1 stopień 20_21'!$I$9:$I$773,'1 stopień 20_21'!$G$9:$G$773,D84,'1 stopień 20_21'!$K$9:$K$773,"CKZ Kluczbork")</f>
        <v>0</v>
      </c>
      <c r="U84" s="104">
        <f>SUMIFS('1 stopień 20_21'!$I$9:$I$773,'1 stopień 20_21'!$G$9:$G$773,D84,'1 stopień 20_21'!$K$9:$K$773,"CKZ Krotoszyn")</f>
        <v>0</v>
      </c>
      <c r="V84" s="104">
        <f>SUMIFS('1 stopień 20_21'!$I$9:$I$773,'1 stopień 20_21'!$G$9:$G$773,D84,'1 stopień 20_21'!$K$9:$K$773,"CKZ Olkusz")</f>
        <v>0</v>
      </c>
      <c r="W84" s="104">
        <f>SUMIFS('1 stopień 20_21'!$I$9:$I$773,'1 stopień 20_21'!$G$9:$G$773,D84,'1 stopień 20_21'!$K$9:$K$773,"CKZ Wschowa")</f>
        <v>3</v>
      </c>
      <c r="X84" s="104">
        <f>SUMIFS('1 stopień 20_21'!$I$9:$I$773,'1 stopień 20_21'!$G$9:$G$773,D84,'1 stopień 20_21'!$K$9:$K$773,"CKZ Zielona Góra")</f>
        <v>0</v>
      </c>
      <c r="Y84" s="104">
        <f>SUMIFS('1 stopień 20_21'!$I$9:$I$773,'1 stopień 20_21'!$G$9:$G$773,D84,'1 stopień 20_21'!$K$9:$K$773,"Rzemieślnicza Wałbrzych")</f>
        <v>0</v>
      </c>
      <c r="Z84" s="104">
        <f>SUMIFS('1 stopień 20_21'!$I$9:$I$773,'1 stopień 20_21'!$G$9:$G$773,D84,'1 stopień 20_21'!$K$9:$K$773,"CKZ Mosina")</f>
        <v>0</v>
      </c>
      <c r="AA84" s="104">
        <f>SUMIFS('1 stopień 20_21'!$I$9:$I$773,'1 stopień 20_21'!$G$9:$G$773,D84,'1 stopień 20_21'!$K$9:$K$773,"CKZ Słupsk")</f>
        <v>0</v>
      </c>
      <c r="AB84" s="104">
        <f>SUMIFS('1 stopień 20_21'!$I$9:$I$773,'1 stopień 20_21'!$G$9:$G$773,D84,'1 stopień 20_21'!$K$9:$K$773,"Toyota")</f>
        <v>0</v>
      </c>
      <c r="AC84" s="104">
        <f>SUMIFS('1 stopień 20_21'!$I$9:$I$773,'1 stopień 20_21'!$G$9:$G$773,D84,'1 stopień 20_21'!$K$9:$K$773,"CKZ Wrocław")</f>
        <v>0</v>
      </c>
      <c r="AD84" s="104">
        <f>SUMIFS('1 stopień 20_21'!$I$9:$I$773,'1 stopień 20_21'!$G$9:$G$773,D84,'1 stopień 20_21'!$K$9:$K$773,"CKZ Opole")</f>
        <v>0</v>
      </c>
      <c r="AE84" s="104">
        <f>SUMIFS('1 stopień 20_21'!$I$9:$I$773,'1 stopień 20_21'!$G$9:$G$773,D84,'1 stopień 20_21'!$K$9:$K$773,"Chojnów")</f>
        <v>0</v>
      </c>
      <c r="AF84" s="104">
        <f>SUMIFS('1 stopień 20_21'!$I$9:$I$773,'1 stopień 20_21'!$G$9:$G$773,D84,'1 stopień 20_21'!$K$9:$K$773,"")</f>
        <v>0</v>
      </c>
      <c r="AG84" s="105">
        <f t="shared" si="2"/>
        <v>3</v>
      </c>
    </row>
    <row r="85" spans="2:33">
      <c r="B85" s="106" t="s">
        <v>648</v>
      </c>
      <c r="C85" s="107">
        <v>612302</v>
      </c>
      <c r="D85" s="107" t="s">
        <v>1398</v>
      </c>
      <c r="E85" s="106" t="s">
        <v>793</v>
      </c>
      <c r="F85" s="103">
        <f>SUMIF('1 stopień 20_21'!G$9:G$773,D85,'1 stopień 20_21'!I$9:I$773)</f>
        <v>0</v>
      </c>
      <c r="G85" s="104">
        <f>SUMIFS('1 stopień 20_21'!$I$9:$I$773,'1 stopień 20_21'!$G$9:$G$773,D85,'1 stopień 20_21'!$K$9:$K$773,"CKZ Bielawa")</f>
        <v>0</v>
      </c>
      <c r="H85" s="104">
        <f>SUMIFS('1 stopień 20_21'!$I$9:$I$773,'1 stopień 20_21'!$G$9:$G$773,D85,'1 stopień 20_21'!$K$9:$K$773,"GCKZ Głogów")</f>
        <v>0</v>
      </c>
      <c r="I85" s="104">
        <f>SUMIFS('1 stopień 20_21'!$I$9:$I$773,'1 stopień 20_21'!$G$9:$G$773,D85,'1 stopień 20_21'!$K$9:$K$773,"CKZ Jawor")</f>
        <v>0</v>
      </c>
      <c r="J85" s="104">
        <f>SUMIFS('1 stopień 20_21'!$I$9:$I$773,'1 stopień 20_21'!$G$9:$G$773,D85,'1 stopień 20_21'!$K$9:$K$773,"JCKZ Jelenia Góra")</f>
        <v>0</v>
      </c>
      <c r="K85" s="104">
        <f>SUMIFS('1 stopień 20_21'!$I$9:$I$773,'1 stopień 20_21'!$G$9:$G$773,D85,'1 stopień 20_21'!$K$9:$K$773,"CKZ Kłodzko")</f>
        <v>0</v>
      </c>
      <c r="L85" s="104">
        <f>SUMIFS('1 stopień 20_21'!$I$9:$I$773,'1 stopień 20_21'!$G$9:$G$773,D85,'1 stopień 20_21'!$K$9:$K$773,"CKZ Legnica")</f>
        <v>0</v>
      </c>
      <c r="M85" s="104">
        <f>SUMIFS('1 stopień 20_21'!$I$9:$I$773,'1 stopień 20_21'!$G$9:$G$773,D85,'1 stopień 20_21'!$K$9:$K$773,"CKZ Oleśnica")</f>
        <v>0</v>
      </c>
      <c r="N85" s="104">
        <f>SUMIFS('1 stopień 20_21'!$I$9:$I$773,'1 stopień 20_21'!$G$9:$G$773,D85,'1 stopień 20_21'!$K$9:$K$773,"CKZ Świdnica")</f>
        <v>0</v>
      </c>
      <c r="O85" s="104">
        <f>SUMIFS('1 stopień 20_21'!$I$9:$I$773,'1 stopień 20_21'!$G$9:$G$773,D85,'1 stopień 20_21'!$K$9:$K$773,"CKZ Wołów")</f>
        <v>0</v>
      </c>
      <c r="P85" s="104">
        <f>SUMIFS('1 stopień 20_21'!$I$9:$I$773,'1 stopień 20_21'!$G$9:$G$773,D85,'1 stopień 20_21'!$K$9:$K$773,"CKZ Ziębice")</f>
        <v>0</v>
      </c>
      <c r="Q85" s="104">
        <f>SUMIFS('1 stopień 20_21'!$I$9:$I$773,'1 stopień 20_21'!$G$9:$G$773,D85,'1 stopień 20_21'!$K$9:$K$773,"CKZ Dobrodzień")</f>
        <v>0</v>
      </c>
      <c r="R85" s="104">
        <f>SUMIFS('1 stopień 20_21'!$I$9:$I$773,'1 stopień 20_21'!$G$9:$G$773,D85,'1 stopień 20_21'!$K$9:$K$773,"CKZ Głubczyce")</f>
        <v>0</v>
      </c>
      <c r="S85" s="104">
        <f>SUMIFS('1 stopień 20_21'!$I$9:$I$773,'1 stopień 20_21'!$G$9:$G$773,D85,'1 stopień 20_21'!$K$9:$K$773,"CKZ Kędzierzyn Kożle")</f>
        <v>0</v>
      </c>
      <c r="T85" s="104">
        <f>SUMIFS('1 stopień 20_21'!$I$9:$I$773,'1 stopień 20_21'!$G$9:$G$773,D85,'1 stopień 20_21'!$K$9:$K$773,"CKZ Kluczbork")</f>
        <v>0</v>
      </c>
      <c r="U85" s="104">
        <f>SUMIFS('1 stopień 20_21'!$I$9:$I$773,'1 stopień 20_21'!$G$9:$G$773,D85,'1 stopień 20_21'!$K$9:$K$773,"CKZ Krotoszyn")</f>
        <v>0</v>
      </c>
      <c r="V85" s="104">
        <f>SUMIFS('1 stopień 20_21'!$I$9:$I$773,'1 stopień 20_21'!$G$9:$G$773,D85,'1 stopień 20_21'!$K$9:$K$773,"CKZ Olkusz")</f>
        <v>0</v>
      </c>
      <c r="W85" s="104">
        <f>SUMIFS('1 stopień 20_21'!$I$9:$I$773,'1 stopień 20_21'!$G$9:$G$773,D85,'1 stopień 20_21'!$K$9:$K$773,"CKZ Wschowa")</f>
        <v>0</v>
      </c>
      <c r="X85" s="104">
        <f>SUMIFS('1 stopień 20_21'!$I$9:$I$773,'1 stopień 20_21'!$G$9:$G$773,D85,'1 stopień 20_21'!$K$9:$K$773,"CKZ Zielona Góra")</f>
        <v>0</v>
      </c>
      <c r="Y85" s="104">
        <f>SUMIFS('1 stopień 20_21'!$I$9:$I$773,'1 stopień 20_21'!$G$9:$G$773,D85,'1 stopień 20_21'!$K$9:$K$773,"Rzemieślnicza Wałbrzych")</f>
        <v>0</v>
      </c>
      <c r="Z85" s="104">
        <f>SUMIFS('1 stopień 20_21'!$I$9:$I$773,'1 stopień 20_21'!$G$9:$G$773,D85,'1 stopień 20_21'!$K$9:$K$773,"CKZ Mosina")</f>
        <v>0</v>
      </c>
      <c r="AA85" s="104">
        <f>SUMIFS('1 stopień 20_21'!$I$9:$I$773,'1 stopień 20_21'!$G$9:$G$773,D85,'1 stopień 20_21'!$K$9:$K$773,"CKZ Słupsk")</f>
        <v>0</v>
      </c>
      <c r="AB85" s="104">
        <f>SUMIFS('1 stopień 20_21'!$I$9:$I$773,'1 stopień 20_21'!$G$9:$G$773,D85,'1 stopień 20_21'!$K$9:$K$773,"Toyota")</f>
        <v>0</v>
      </c>
      <c r="AC85" s="104">
        <f>SUMIFS('1 stopień 20_21'!$I$9:$I$773,'1 stopień 20_21'!$G$9:$G$773,D85,'1 stopień 20_21'!$K$9:$K$773,"CKZ Wrocław")</f>
        <v>0</v>
      </c>
      <c r="AD85" s="104">
        <f>SUMIFS('1 stopień 20_21'!$I$9:$I$773,'1 stopień 20_21'!$G$9:$G$773,D85,'1 stopień 20_21'!$K$9:$K$773,"CKZ Opole")</f>
        <v>0</v>
      </c>
      <c r="AE85" s="104">
        <f>SUMIFS('1 stopień 20_21'!$I$9:$I$773,'1 stopień 20_21'!$G$9:$G$773,D85,'1 stopień 20_21'!$K$9:$K$773,"Chojnów")</f>
        <v>0</v>
      </c>
      <c r="AF85" s="104">
        <f>SUMIFS('1 stopień 20_21'!$I$9:$I$773,'1 stopień 20_21'!$G$9:$G$773,D85,'1 stopień 20_21'!$K$9:$K$773,"")</f>
        <v>0</v>
      </c>
      <c r="AG85" s="105">
        <f t="shared" si="2"/>
        <v>0</v>
      </c>
    </row>
    <row r="86" spans="2:33">
      <c r="B86" s="106" t="s">
        <v>247</v>
      </c>
      <c r="C86" s="107">
        <v>613003</v>
      </c>
      <c r="D86" s="107" t="s">
        <v>542</v>
      </c>
      <c r="E86" s="106" t="s">
        <v>792</v>
      </c>
      <c r="F86" s="103">
        <f>SUMIF('1 stopień 20_21'!G$9:G$773,D86,'1 stopień 20_21'!I$9:I$773)</f>
        <v>2</v>
      </c>
      <c r="G86" s="104">
        <f>SUMIFS('1 stopień 20_21'!$I$9:$I$773,'1 stopień 20_21'!$G$9:$G$773,D86,'1 stopień 20_21'!$K$9:$K$773,"CKZ Bielawa")</f>
        <v>0</v>
      </c>
      <c r="H86" s="104">
        <f>SUMIFS('1 stopień 20_21'!$I$9:$I$773,'1 stopień 20_21'!$G$9:$G$773,D86,'1 stopień 20_21'!$K$9:$K$773,"GCKZ Głogów")</f>
        <v>0</v>
      </c>
      <c r="I86" s="104">
        <f>SUMIFS('1 stopień 20_21'!$I$9:$I$773,'1 stopień 20_21'!$G$9:$G$773,D86,'1 stopień 20_21'!$K$9:$K$773,"CKZ Jawor")</f>
        <v>0</v>
      </c>
      <c r="J86" s="104">
        <f>SUMIFS('1 stopień 20_21'!$I$9:$I$773,'1 stopień 20_21'!$G$9:$G$773,D86,'1 stopień 20_21'!$K$9:$K$773,"JCKZ Jelenia Góra")</f>
        <v>0</v>
      </c>
      <c r="K86" s="104">
        <f>SUMIFS('1 stopień 20_21'!$I$9:$I$773,'1 stopień 20_21'!$G$9:$G$773,D86,'1 stopień 20_21'!$K$9:$K$773,"CKZ Kłodzko")</f>
        <v>0</v>
      </c>
      <c r="L86" s="104">
        <f>SUMIFS('1 stopień 20_21'!$I$9:$I$773,'1 stopień 20_21'!$G$9:$G$773,D86,'1 stopień 20_21'!$K$9:$K$773,"CKZ Legnica")</f>
        <v>0</v>
      </c>
      <c r="M86" s="104">
        <f>SUMIFS('1 stopień 20_21'!$I$9:$I$773,'1 stopień 20_21'!$G$9:$G$773,D86,'1 stopień 20_21'!$K$9:$K$773,"CKZ Oleśnica")</f>
        <v>0</v>
      </c>
      <c r="N86" s="104">
        <f>SUMIFS('1 stopień 20_21'!$I$9:$I$773,'1 stopień 20_21'!$G$9:$G$773,D86,'1 stopień 20_21'!$K$9:$K$773,"CKZ Świdnica")</f>
        <v>0</v>
      </c>
      <c r="O86" s="104">
        <f>SUMIFS('1 stopień 20_21'!$I$9:$I$773,'1 stopień 20_21'!$G$9:$G$773,D86,'1 stopień 20_21'!$K$9:$K$773,"CKZ Wołów")</f>
        <v>0</v>
      </c>
      <c r="P86" s="104">
        <f>SUMIFS('1 stopień 20_21'!$I$9:$I$773,'1 stopień 20_21'!$G$9:$G$773,D86,'1 stopień 20_21'!$K$9:$K$773,"CKZ Ziębice")</f>
        <v>0</v>
      </c>
      <c r="Q86" s="104">
        <f>SUMIFS('1 stopień 20_21'!$I$9:$I$773,'1 stopień 20_21'!$G$9:$G$773,D86,'1 stopień 20_21'!$K$9:$K$773,"CKZ Dobrodzień")</f>
        <v>0</v>
      </c>
      <c r="R86" s="104">
        <f>SUMIFS('1 stopień 20_21'!$I$9:$I$773,'1 stopień 20_21'!$G$9:$G$773,D86,'1 stopień 20_21'!$K$9:$K$773,"CKZ Głubczyce")</f>
        <v>0</v>
      </c>
      <c r="S86" s="104">
        <f>SUMIFS('1 stopień 20_21'!$I$9:$I$773,'1 stopień 20_21'!$G$9:$G$773,D86,'1 stopień 20_21'!$K$9:$K$773,"CKZ Kędzierzyn Kożle")</f>
        <v>0</v>
      </c>
      <c r="T86" s="104">
        <f>SUMIFS('1 stopień 20_21'!$I$9:$I$773,'1 stopień 20_21'!$G$9:$G$773,D86,'1 stopień 20_21'!$K$9:$K$773,"CKZ Kluczbork")</f>
        <v>0</v>
      </c>
      <c r="U86" s="104">
        <f>SUMIFS('1 stopień 20_21'!$I$9:$I$773,'1 stopień 20_21'!$G$9:$G$773,D86,'1 stopień 20_21'!$K$9:$K$773,"CKZ Krotoszyn")</f>
        <v>0</v>
      </c>
      <c r="V86" s="104">
        <f>SUMIFS('1 stopień 20_21'!$I$9:$I$773,'1 stopień 20_21'!$G$9:$G$773,D86,'1 stopień 20_21'!$K$9:$K$773,"CKZ Olkusz")</f>
        <v>0</v>
      </c>
      <c r="W86" s="104">
        <f>SUMIFS('1 stopień 20_21'!$I$9:$I$773,'1 stopień 20_21'!$G$9:$G$773,D86,'1 stopień 20_21'!$K$9:$K$773,"CKZ Wschowa")</f>
        <v>2</v>
      </c>
      <c r="X86" s="104">
        <f>SUMIFS('1 stopień 20_21'!$I$9:$I$773,'1 stopień 20_21'!$G$9:$G$773,D86,'1 stopień 20_21'!$K$9:$K$773,"CKZ Zielona Góra")</f>
        <v>0</v>
      </c>
      <c r="Y86" s="104">
        <f>SUMIFS('1 stopień 20_21'!$I$9:$I$773,'1 stopień 20_21'!$G$9:$G$773,D86,'1 stopień 20_21'!$K$9:$K$773,"Rzemieślnicza Wałbrzych")</f>
        <v>0</v>
      </c>
      <c r="Z86" s="104">
        <f>SUMIFS('1 stopień 20_21'!$I$9:$I$773,'1 stopień 20_21'!$G$9:$G$773,D86,'1 stopień 20_21'!$K$9:$K$773,"CKZ Mosina")</f>
        <v>0</v>
      </c>
      <c r="AA86" s="104">
        <f>SUMIFS('1 stopień 20_21'!$I$9:$I$773,'1 stopień 20_21'!$G$9:$G$773,D86,'1 stopień 20_21'!$K$9:$K$773,"CKZ Słupsk")</f>
        <v>0</v>
      </c>
      <c r="AB86" s="104">
        <f>SUMIFS('1 stopień 20_21'!$I$9:$I$773,'1 stopień 20_21'!$G$9:$G$773,D86,'1 stopień 20_21'!$K$9:$K$773,"Toyota")</f>
        <v>0</v>
      </c>
      <c r="AC86" s="104">
        <f>SUMIFS('1 stopień 20_21'!$I$9:$I$773,'1 stopień 20_21'!$G$9:$G$773,D86,'1 stopień 20_21'!$K$9:$K$773,"CKZ Wrocław")</f>
        <v>0</v>
      </c>
      <c r="AD86" s="104">
        <f>SUMIFS('1 stopień 20_21'!$I$9:$I$773,'1 stopień 20_21'!$G$9:$G$773,D86,'1 stopień 20_21'!$K$9:$K$773,"CKZ Opole")</f>
        <v>0</v>
      </c>
      <c r="AE86" s="104">
        <f>SUMIFS('1 stopień 20_21'!$I$9:$I$773,'1 stopień 20_21'!$G$9:$G$773,D86,'1 stopień 20_21'!$K$9:$K$773,"Chojnów")</f>
        <v>0</v>
      </c>
      <c r="AF86" s="104">
        <f>SUMIFS('1 stopień 20_21'!$I$9:$I$773,'1 stopień 20_21'!$G$9:$G$773,D86,'1 stopień 20_21'!$K$9:$K$773,"")</f>
        <v>0</v>
      </c>
      <c r="AG86" s="105">
        <f t="shared" si="2"/>
        <v>2</v>
      </c>
    </row>
    <row r="87" spans="2:33">
      <c r="B87" s="106" t="s">
        <v>649</v>
      </c>
      <c r="C87" s="107">
        <v>622201</v>
      </c>
      <c r="D87" s="107" t="s">
        <v>1154</v>
      </c>
      <c r="E87" s="106" t="s">
        <v>790</v>
      </c>
      <c r="F87" s="103">
        <f>SUMIF('1 stopień 20_21'!G$9:G$773,D87,'1 stopień 20_21'!I$9:I$773)</f>
        <v>0</v>
      </c>
      <c r="G87" s="104">
        <f>SUMIFS('1 stopień 20_21'!$I$9:$I$773,'1 stopień 20_21'!$G$9:$G$773,D87,'1 stopień 20_21'!$K$9:$K$773,"CKZ Bielawa")</f>
        <v>0</v>
      </c>
      <c r="H87" s="104">
        <f>SUMIFS('1 stopień 20_21'!$I$9:$I$773,'1 stopień 20_21'!$G$9:$G$773,D87,'1 stopień 20_21'!$K$9:$K$773,"GCKZ Głogów")</f>
        <v>0</v>
      </c>
      <c r="I87" s="104">
        <f>SUMIFS('1 stopień 20_21'!$I$9:$I$773,'1 stopień 20_21'!$G$9:$G$773,D87,'1 stopień 20_21'!$K$9:$K$773,"CKZ Jawor")</f>
        <v>0</v>
      </c>
      <c r="J87" s="104">
        <f>SUMIFS('1 stopień 20_21'!$I$9:$I$773,'1 stopień 20_21'!$G$9:$G$773,D87,'1 stopień 20_21'!$K$9:$K$773,"JCKZ Jelenia Góra")</f>
        <v>0</v>
      </c>
      <c r="K87" s="104">
        <f>SUMIFS('1 stopień 20_21'!$I$9:$I$773,'1 stopień 20_21'!$G$9:$G$773,D87,'1 stopień 20_21'!$K$9:$K$773,"CKZ Kłodzko")</f>
        <v>0</v>
      </c>
      <c r="L87" s="104">
        <f>SUMIFS('1 stopień 20_21'!$I$9:$I$773,'1 stopień 20_21'!$G$9:$G$773,D87,'1 stopień 20_21'!$K$9:$K$773,"CKZ Legnica")</f>
        <v>0</v>
      </c>
      <c r="M87" s="104">
        <f>SUMIFS('1 stopień 20_21'!$I$9:$I$773,'1 stopień 20_21'!$G$9:$G$773,D87,'1 stopień 20_21'!$K$9:$K$773,"CKZ Oleśnica")</f>
        <v>0</v>
      </c>
      <c r="N87" s="104">
        <f>SUMIFS('1 stopień 20_21'!$I$9:$I$773,'1 stopień 20_21'!$G$9:$G$773,D87,'1 stopień 20_21'!$K$9:$K$773,"CKZ Świdnica")</f>
        <v>0</v>
      </c>
      <c r="O87" s="104">
        <f>SUMIFS('1 stopień 20_21'!$I$9:$I$773,'1 stopień 20_21'!$G$9:$G$773,D87,'1 stopień 20_21'!$K$9:$K$773,"CKZ Wołów")</f>
        <v>0</v>
      </c>
      <c r="P87" s="104">
        <f>SUMIFS('1 stopień 20_21'!$I$9:$I$773,'1 stopień 20_21'!$G$9:$G$773,D87,'1 stopień 20_21'!$K$9:$K$773,"CKZ Ziębice")</f>
        <v>0</v>
      </c>
      <c r="Q87" s="104">
        <f>SUMIFS('1 stopień 20_21'!$I$9:$I$773,'1 stopień 20_21'!$G$9:$G$773,D87,'1 stopień 20_21'!$K$9:$K$773,"CKZ Dobrodzień")</f>
        <v>0</v>
      </c>
      <c r="R87" s="104">
        <f>SUMIFS('1 stopień 20_21'!$I$9:$I$773,'1 stopień 20_21'!$G$9:$G$773,D87,'1 stopień 20_21'!$K$9:$K$773,"CKZ Głubczyce")</f>
        <v>0</v>
      </c>
      <c r="S87" s="104">
        <f>SUMIFS('1 stopień 20_21'!$I$9:$I$773,'1 stopień 20_21'!$G$9:$G$773,D87,'1 stopień 20_21'!$K$9:$K$773,"CKZ Kędzierzyn Kożle")</f>
        <v>0</v>
      </c>
      <c r="T87" s="104">
        <f>SUMIFS('1 stopień 20_21'!$I$9:$I$773,'1 stopień 20_21'!$G$9:$G$773,D87,'1 stopień 20_21'!$K$9:$K$773,"CKZ Kluczbork")</f>
        <v>0</v>
      </c>
      <c r="U87" s="104">
        <f>SUMIFS('1 stopień 20_21'!$I$9:$I$773,'1 stopień 20_21'!$G$9:$G$773,D87,'1 stopień 20_21'!$K$9:$K$773,"CKZ Krotoszyn")</f>
        <v>0</v>
      </c>
      <c r="V87" s="104">
        <f>SUMIFS('1 stopień 20_21'!$I$9:$I$773,'1 stopień 20_21'!$G$9:$G$773,D87,'1 stopień 20_21'!$K$9:$K$773,"CKZ Olkusz")</f>
        <v>0</v>
      </c>
      <c r="W87" s="104">
        <f>SUMIFS('1 stopień 20_21'!$I$9:$I$773,'1 stopień 20_21'!$G$9:$G$773,D87,'1 stopień 20_21'!$K$9:$K$773,"CKZ Wschowa")</f>
        <v>0</v>
      </c>
      <c r="X87" s="104">
        <f>SUMIFS('1 stopień 20_21'!$I$9:$I$773,'1 stopień 20_21'!$G$9:$G$773,D87,'1 stopień 20_21'!$K$9:$K$773,"CKZ Zielona Góra")</f>
        <v>0</v>
      </c>
      <c r="Y87" s="104">
        <f>SUMIFS('1 stopień 20_21'!$I$9:$I$773,'1 stopień 20_21'!$G$9:$G$773,D87,'1 stopień 20_21'!$K$9:$K$773,"Rzemieślnicza Wałbrzych")</f>
        <v>0</v>
      </c>
      <c r="Z87" s="104">
        <f>SUMIFS('1 stopień 20_21'!$I$9:$I$773,'1 stopień 20_21'!$G$9:$G$773,D87,'1 stopień 20_21'!$K$9:$K$773,"CKZ Mosina")</f>
        <v>0</v>
      </c>
      <c r="AA87" s="104">
        <f>SUMIFS('1 stopień 20_21'!$I$9:$I$773,'1 stopień 20_21'!$G$9:$G$773,D87,'1 stopień 20_21'!$K$9:$K$773,"CKZ Słupsk")</f>
        <v>0</v>
      </c>
      <c r="AB87" s="104">
        <f>SUMIFS('1 stopień 20_21'!$I$9:$I$773,'1 stopień 20_21'!$G$9:$G$773,D87,'1 stopień 20_21'!$K$9:$K$773,"Toyota")</f>
        <v>0</v>
      </c>
      <c r="AC87" s="104">
        <f>SUMIFS('1 stopień 20_21'!$I$9:$I$773,'1 stopień 20_21'!$G$9:$G$773,D87,'1 stopień 20_21'!$K$9:$K$773,"CKZ Wrocław")</f>
        <v>0</v>
      </c>
      <c r="AD87" s="104">
        <f>SUMIFS('1 stopień 20_21'!$I$9:$I$773,'1 stopień 20_21'!$G$9:$G$773,D87,'1 stopień 20_21'!$K$9:$K$773,"CKZ Opole")</f>
        <v>0</v>
      </c>
      <c r="AE87" s="104">
        <f>SUMIFS('1 stopień 20_21'!$I$9:$I$773,'1 stopień 20_21'!$G$9:$G$773,D87,'1 stopień 20_21'!$K$9:$K$773,"Chojnów")</f>
        <v>0</v>
      </c>
      <c r="AF87" s="104">
        <f>SUMIFS('1 stopień 20_21'!$I$9:$I$773,'1 stopień 20_21'!$G$9:$G$773,D87,'1 stopień 20_21'!$K$9:$K$773,"")</f>
        <v>0</v>
      </c>
      <c r="AG87" s="105">
        <f t="shared" si="2"/>
        <v>0</v>
      </c>
    </row>
    <row r="88" spans="2:33">
      <c r="B88" s="106" t="s">
        <v>269</v>
      </c>
      <c r="C88" s="107">
        <v>432106</v>
      </c>
      <c r="D88" s="107" t="s">
        <v>281</v>
      </c>
      <c r="E88" s="106" t="s">
        <v>788</v>
      </c>
      <c r="F88" s="103">
        <f>SUMIF('1 stopień 20_21'!G$9:G$773,D88,'1 stopień 20_21'!I$9:I$773)</f>
        <v>4</v>
      </c>
      <c r="G88" s="104">
        <f>SUMIFS('1 stopień 20_21'!$I$9:$I$773,'1 stopień 20_21'!$G$9:$G$773,D88,'1 stopień 20_21'!$K$9:$K$773,"CKZ Bielawa")</f>
        <v>0</v>
      </c>
      <c r="H88" s="104">
        <f>SUMIFS('1 stopień 20_21'!$I$9:$I$773,'1 stopień 20_21'!$G$9:$G$773,D88,'1 stopień 20_21'!$K$9:$K$773,"GCKZ Głogów")</f>
        <v>0</v>
      </c>
      <c r="I88" s="104">
        <f>SUMIFS('1 stopień 20_21'!$I$9:$I$773,'1 stopień 20_21'!$G$9:$G$773,D88,'1 stopień 20_21'!$K$9:$K$773,"CKZ Jawor")</f>
        <v>0</v>
      </c>
      <c r="J88" s="104">
        <f>SUMIFS('1 stopień 20_21'!$I$9:$I$773,'1 stopień 20_21'!$G$9:$G$773,D88,'1 stopień 20_21'!$K$9:$K$773,"JCKZ Jelenia Góra")</f>
        <v>0</v>
      </c>
      <c r="K88" s="104">
        <f>SUMIFS('1 stopień 20_21'!$I$9:$I$773,'1 stopień 20_21'!$G$9:$G$773,D88,'1 stopień 20_21'!$K$9:$K$773,"CKZ Kłodzko")</f>
        <v>0</v>
      </c>
      <c r="L88" s="104">
        <f>SUMIFS('1 stopień 20_21'!$I$9:$I$773,'1 stopień 20_21'!$G$9:$G$773,D88,'1 stopień 20_21'!$K$9:$K$773,"CKZ Legnica")</f>
        <v>0</v>
      </c>
      <c r="M88" s="104">
        <f>SUMIFS('1 stopień 20_21'!$I$9:$I$773,'1 stopień 20_21'!$G$9:$G$773,D88,'1 stopień 20_21'!$K$9:$K$773,"CKZ Oleśnica")</f>
        <v>0</v>
      </c>
      <c r="N88" s="104">
        <f>SUMIFS('1 stopień 20_21'!$I$9:$I$773,'1 stopień 20_21'!$G$9:$G$773,D88,'1 stopień 20_21'!$K$9:$K$773,"CKZ Świdnica")</f>
        <v>0</v>
      </c>
      <c r="O88" s="104">
        <f>SUMIFS('1 stopień 20_21'!$I$9:$I$773,'1 stopień 20_21'!$G$9:$G$773,D88,'1 stopień 20_21'!$K$9:$K$773,"CKZ Wołów")</f>
        <v>0</v>
      </c>
      <c r="P88" s="104">
        <f>SUMIFS('1 stopień 20_21'!$I$9:$I$773,'1 stopień 20_21'!$G$9:$G$773,D88,'1 stopień 20_21'!$K$9:$K$773,"CKZ Ziębice")</f>
        <v>0</v>
      </c>
      <c r="Q88" s="104">
        <f>SUMIFS('1 stopień 20_21'!$I$9:$I$773,'1 stopień 20_21'!$G$9:$G$773,D88,'1 stopień 20_21'!$K$9:$K$773,"CKZ Dobrodzień")</f>
        <v>0</v>
      </c>
      <c r="R88" s="104">
        <f>SUMIFS('1 stopień 20_21'!$I$9:$I$773,'1 stopień 20_21'!$G$9:$G$773,D88,'1 stopień 20_21'!$K$9:$K$773,"CKZ Głubczyce")</f>
        <v>0</v>
      </c>
      <c r="S88" s="104">
        <f>SUMIFS('1 stopień 20_21'!$I$9:$I$773,'1 stopień 20_21'!$G$9:$G$773,D88,'1 stopień 20_21'!$K$9:$K$773,"CKZ Kędzierzyn Kożle")</f>
        <v>0</v>
      </c>
      <c r="T88" s="104">
        <f>SUMIFS('1 stopień 20_21'!$I$9:$I$773,'1 stopień 20_21'!$G$9:$G$773,D88,'1 stopień 20_21'!$K$9:$K$773,"CKZ Kluczbork")</f>
        <v>0</v>
      </c>
      <c r="U88" s="104">
        <f>SUMIFS('1 stopień 20_21'!$I$9:$I$773,'1 stopień 20_21'!$G$9:$G$773,D88,'1 stopień 20_21'!$K$9:$K$773,"CKZ Krotoszyn")</f>
        <v>0</v>
      </c>
      <c r="V88" s="104">
        <f>SUMIFS('1 stopień 20_21'!$I$9:$I$773,'1 stopień 20_21'!$G$9:$G$773,D88,'1 stopień 20_21'!$K$9:$K$773,"CKZ Olkusz")</f>
        <v>0</v>
      </c>
      <c r="W88" s="104">
        <f>SUMIFS('1 stopień 20_21'!$I$9:$I$773,'1 stopień 20_21'!$G$9:$G$773,D88,'1 stopień 20_21'!$K$9:$K$773,"CKZ Wschowa")</f>
        <v>0</v>
      </c>
      <c r="X88" s="104">
        <f>SUMIFS('1 stopień 20_21'!$I$9:$I$773,'1 stopień 20_21'!$G$9:$G$773,D88,'1 stopień 20_21'!$K$9:$K$773,"CKZ Zielona Góra")</f>
        <v>4</v>
      </c>
      <c r="Y88" s="104">
        <f>SUMIFS('1 stopień 20_21'!$I$9:$I$773,'1 stopień 20_21'!$G$9:$G$773,D88,'1 stopień 20_21'!$K$9:$K$773,"Rzemieślnicza Wałbrzych")</f>
        <v>0</v>
      </c>
      <c r="Z88" s="104">
        <f>SUMIFS('1 stopień 20_21'!$I$9:$I$773,'1 stopień 20_21'!$G$9:$G$773,D88,'1 stopień 20_21'!$K$9:$K$773,"CKZ Mosina")</f>
        <v>0</v>
      </c>
      <c r="AA88" s="104">
        <f>SUMIFS('1 stopień 20_21'!$I$9:$I$773,'1 stopień 20_21'!$G$9:$G$773,D88,'1 stopień 20_21'!$K$9:$K$773,"CKZ Słupsk")</f>
        <v>0</v>
      </c>
      <c r="AB88" s="104">
        <f>SUMIFS('1 stopień 20_21'!$I$9:$I$773,'1 stopień 20_21'!$G$9:$G$773,D88,'1 stopień 20_21'!$K$9:$K$773,"Toyota")</f>
        <v>0</v>
      </c>
      <c r="AC88" s="104">
        <f>SUMIFS('1 stopień 20_21'!$I$9:$I$773,'1 stopień 20_21'!$G$9:$G$773,D88,'1 stopień 20_21'!$K$9:$K$773,"CKZ Wrocław")</f>
        <v>0</v>
      </c>
      <c r="AD88" s="104">
        <f>SUMIFS('1 stopień 20_21'!$I$9:$I$773,'1 stopień 20_21'!$G$9:$G$773,D88,'1 stopień 20_21'!$K$9:$K$773,"CKZ Opole")</f>
        <v>0</v>
      </c>
      <c r="AE88" s="104">
        <f>SUMIFS('1 stopień 20_21'!$I$9:$I$773,'1 stopień 20_21'!$G$9:$G$773,D88,'1 stopień 20_21'!$K$9:$K$773,"Chojnów")</f>
        <v>0</v>
      </c>
      <c r="AF88" s="104">
        <f>SUMIFS('1 stopień 20_21'!$I$9:$I$773,'1 stopień 20_21'!$G$9:$G$773,D88,'1 stopień 20_21'!$K$9:$K$773,"")</f>
        <v>0</v>
      </c>
      <c r="AG88" s="105">
        <f t="shared" si="2"/>
        <v>4</v>
      </c>
    </row>
    <row r="89" spans="2:33">
      <c r="B89" s="106" t="s">
        <v>215</v>
      </c>
      <c r="C89" s="107">
        <v>751201</v>
      </c>
      <c r="D89" s="107" t="s">
        <v>183</v>
      </c>
      <c r="E89" s="106" t="s">
        <v>786</v>
      </c>
      <c r="F89" s="103">
        <f>SUMIF('1 stopień 20_21'!G$9:G$773,D89,'1 stopień 20_21'!I$9:I$773)</f>
        <v>130</v>
      </c>
      <c r="G89" s="104">
        <f>SUMIFS('1 stopień 20_21'!$I$9:$I$773,'1 stopień 20_21'!$G$9:$G$773,D89,'1 stopień 20_21'!$K$9:$K$773,"CKZ Bielawa")</f>
        <v>0</v>
      </c>
      <c r="H89" s="104">
        <f>SUMIFS('1 stopień 20_21'!$I$9:$I$773,'1 stopień 20_21'!$G$9:$G$773,D89,'1 stopień 20_21'!$K$9:$K$773,"GCKZ Głogów")</f>
        <v>0</v>
      </c>
      <c r="I89" s="104">
        <f>SUMIFS('1 stopień 20_21'!$I$9:$I$773,'1 stopień 20_21'!$G$9:$G$773,D89,'1 stopień 20_21'!$K$9:$K$773,"CKZ Jawor")</f>
        <v>0</v>
      </c>
      <c r="J89" s="104">
        <f>SUMIFS('1 stopień 20_21'!$I$9:$I$773,'1 stopień 20_21'!$G$9:$G$773,D89,'1 stopień 20_21'!$K$9:$K$773,"JCKZ Jelenia Góra")</f>
        <v>0</v>
      </c>
      <c r="K89" s="104">
        <f>SUMIFS('1 stopień 20_21'!$I$9:$I$773,'1 stopień 20_21'!$G$9:$G$773,D89,'1 stopień 20_21'!$K$9:$K$773,"CKZ Kłodzko")</f>
        <v>10</v>
      </c>
      <c r="L89" s="104">
        <f>SUMIFS('1 stopień 20_21'!$I$9:$I$773,'1 stopień 20_21'!$G$9:$G$773,D89,'1 stopień 20_21'!$K$9:$K$773,"CKZ Legnica")</f>
        <v>57</v>
      </c>
      <c r="M89" s="104">
        <f>SUMIFS('1 stopień 20_21'!$I$9:$I$773,'1 stopień 20_21'!$G$9:$G$773,D89,'1 stopień 20_21'!$K$9:$K$773,"CKZ Oleśnica")</f>
        <v>30</v>
      </c>
      <c r="N89" s="104">
        <f>SUMIFS('1 stopień 20_21'!$I$9:$I$773,'1 stopień 20_21'!$G$9:$G$773,D89,'1 stopień 20_21'!$K$9:$K$773,"CKZ Świdnica")</f>
        <v>20</v>
      </c>
      <c r="O89" s="104">
        <f>SUMIFS('1 stopień 20_21'!$I$9:$I$773,'1 stopień 20_21'!$G$9:$G$773,D89,'1 stopień 20_21'!$K$9:$K$773,"CKZ Wołów")</f>
        <v>0</v>
      </c>
      <c r="P89" s="104">
        <f>SUMIFS('1 stopień 20_21'!$I$9:$I$773,'1 stopień 20_21'!$G$9:$G$773,D89,'1 stopień 20_21'!$K$9:$K$773,"CKZ Ziębice")</f>
        <v>0</v>
      </c>
      <c r="Q89" s="104">
        <f>SUMIFS('1 stopień 20_21'!$I$9:$I$773,'1 stopień 20_21'!$G$9:$G$773,D89,'1 stopień 20_21'!$K$9:$K$773,"CKZ Dobrodzień")</f>
        <v>0</v>
      </c>
      <c r="R89" s="104">
        <f>SUMIFS('1 stopień 20_21'!$I$9:$I$773,'1 stopień 20_21'!$G$9:$G$773,D89,'1 stopień 20_21'!$K$9:$K$773,"CKZ Głubczyce")</f>
        <v>0</v>
      </c>
      <c r="S89" s="104">
        <f>SUMIFS('1 stopień 20_21'!$I$9:$I$773,'1 stopień 20_21'!$G$9:$G$773,D89,'1 stopień 20_21'!$K$9:$K$773,"CKZ Kędzierzyn Kożle")</f>
        <v>0</v>
      </c>
      <c r="T89" s="104">
        <f>SUMIFS('1 stopień 20_21'!$I$9:$I$773,'1 stopień 20_21'!$G$9:$G$773,D89,'1 stopień 20_21'!$K$9:$K$773,"CKZ Kluczbork")</f>
        <v>0</v>
      </c>
      <c r="U89" s="104">
        <f>SUMIFS('1 stopień 20_21'!$I$9:$I$773,'1 stopień 20_21'!$G$9:$G$773,D89,'1 stopień 20_21'!$K$9:$K$773,"CKZ Krotoszyn")</f>
        <v>0</v>
      </c>
      <c r="V89" s="104">
        <f>SUMIFS('1 stopień 20_21'!$I$9:$I$773,'1 stopień 20_21'!$G$9:$G$773,D89,'1 stopień 20_21'!$K$9:$K$773,"CKZ Olkusz")</f>
        <v>0</v>
      </c>
      <c r="W89" s="104">
        <f>SUMIFS('1 stopień 20_21'!$I$9:$I$773,'1 stopień 20_21'!$G$9:$G$773,D89,'1 stopień 20_21'!$K$9:$K$773,"CKZ Wschowa")</f>
        <v>0</v>
      </c>
      <c r="X89" s="104">
        <f>SUMIFS('1 stopień 20_21'!$I$9:$I$773,'1 stopień 20_21'!$G$9:$G$773,D89,'1 stopień 20_21'!$K$9:$K$773,"CKZ Zielona Góra")</f>
        <v>4</v>
      </c>
      <c r="Y89" s="104">
        <f>SUMIFS('1 stopień 20_21'!$I$9:$I$773,'1 stopień 20_21'!$G$9:$G$773,D89,'1 stopień 20_21'!$K$9:$K$773,"Rzemieślnicza Wałbrzych")</f>
        <v>0</v>
      </c>
      <c r="Z89" s="104">
        <f>SUMIFS('1 stopień 20_21'!$I$9:$I$773,'1 stopień 20_21'!$G$9:$G$773,D89,'1 stopień 20_21'!$K$9:$K$773,"CKZ Mosina")</f>
        <v>0</v>
      </c>
      <c r="AA89" s="104">
        <f>SUMIFS('1 stopień 20_21'!$I$9:$I$773,'1 stopień 20_21'!$G$9:$G$773,D89,'1 stopień 20_21'!$K$9:$K$773,"CKZ Słupsk")</f>
        <v>0</v>
      </c>
      <c r="AB89" s="104">
        <f>SUMIFS('1 stopień 20_21'!$I$9:$I$773,'1 stopień 20_21'!$G$9:$G$773,D89,'1 stopień 20_21'!$K$9:$K$773,"Toyota")</f>
        <v>0</v>
      </c>
      <c r="AC89" s="104">
        <f>SUMIFS('1 stopień 20_21'!$I$9:$I$773,'1 stopień 20_21'!$G$9:$G$773,D89,'1 stopień 20_21'!$K$9:$K$773,"CKZ Wrocław")</f>
        <v>8</v>
      </c>
      <c r="AD89" s="104">
        <f>SUMIFS('1 stopień 20_21'!$I$9:$I$773,'1 stopień 20_21'!$G$9:$G$773,D89,'1 stopień 20_21'!$K$9:$K$773,"CKZ Opole")</f>
        <v>1</v>
      </c>
      <c r="AE89" s="104">
        <f>SUMIFS('1 stopień 20_21'!$I$9:$I$773,'1 stopień 20_21'!$G$9:$G$773,D89,'1 stopień 20_21'!$K$9:$K$773,"Chojnów")</f>
        <v>0</v>
      </c>
      <c r="AF89" s="104">
        <f>SUMIFS('1 stopień 20_21'!$I$9:$I$773,'1 stopień 20_21'!$G$9:$G$773,D89,'1 stopień 20_21'!$K$9:$K$773,"")</f>
        <v>0</v>
      </c>
      <c r="AG89" s="105">
        <f t="shared" si="2"/>
        <v>130</v>
      </c>
    </row>
    <row r="90" spans="2:33">
      <c r="B90" s="106" t="s">
        <v>650</v>
      </c>
      <c r="C90" s="107">
        <v>816003</v>
      </c>
      <c r="D90" s="107" t="s">
        <v>1399</v>
      </c>
      <c r="E90" s="106" t="s">
        <v>784</v>
      </c>
      <c r="F90" s="103">
        <f>SUMIF('1 stopień 20_21'!G$9:G$773,D90,'1 stopień 20_21'!I$9:I$773)</f>
        <v>0</v>
      </c>
      <c r="G90" s="104">
        <f>SUMIFS('1 stopień 20_21'!$I$9:$I$773,'1 stopień 20_21'!$G$9:$G$773,D90,'1 stopień 20_21'!$K$9:$K$773,"CKZ Bielawa")</f>
        <v>0</v>
      </c>
      <c r="H90" s="104">
        <f>SUMIFS('1 stopień 20_21'!$I$9:$I$773,'1 stopień 20_21'!$G$9:$G$773,D90,'1 stopień 20_21'!$K$9:$K$773,"GCKZ Głogów")</f>
        <v>0</v>
      </c>
      <c r="I90" s="104">
        <f>SUMIFS('1 stopień 20_21'!$I$9:$I$773,'1 stopień 20_21'!$G$9:$G$773,D90,'1 stopień 20_21'!$K$9:$K$773,"CKZ Jawor")</f>
        <v>0</v>
      </c>
      <c r="J90" s="104">
        <f>SUMIFS('1 stopień 20_21'!$I$9:$I$773,'1 stopień 20_21'!$G$9:$G$773,D90,'1 stopień 20_21'!$K$9:$K$773,"JCKZ Jelenia Góra")</f>
        <v>0</v>
      </c>
      <c r="K90" s="104">
        <f>SUMIFS('1 stopień 20_21'!$I$9:$I$773,'1 stopień 20_21'!$G$9:$G$773,D90,'1 stopień 20_21'!$K$9:$K$773,"CKZ Kłodzko")</f>
        <v>0</v>
      </c>
      <c r="L90" s="104">
        <f>SUMIFS('1 stopień 20_21'!$I$9:$I$773,'1 stopień 20_21'!$G$9:$G$773,D90,'1 stopień 20_21'!$K$9:$K$773,"CKZ Legnica")</f>
        <v>0</v>
      </c>
      <c r="M90" s="104">
        <f>SUMIFS('1 stopień 20_21'!$I$9:$I$773,'1 stopień 20_21'!$G$9:$G$773,D90,'1 stopień 20_21'!$K$9:$K$773,"CKZ Oleśnica")</f>
        <v>0</v>
      </c>
      <c r="N90" s="104">
        <f>SUMIFS('1 stopień 20_21'!$I$9:$I$773,'1 stopień 20_21'!$G$9:$G$773,D90,'1 stopień 20_21'!$K$9:$K$773,"CKZ Świdnica")</f>
        <v>0</v>
      </c>
      <c r="O90" s="104">
        <f>SUMIFS('1 stopień 20_21'!$I$9:$I$773,'1 stopień 20_21'!$G$9:$G$773,D90,'1 stopień 20_21'!$K$9:$K$773,"CKZ Wołów")</f>
        <v>0</v>
      </c>
      <c r="P90" s="104">
        <f>SUMIFS('1 stopień 20_21'!$I$9:$I$773,'1 stopień 20_21'!$G$9:$G$773,D90,'1 stopień 20_21'!$K$9:$K$773,"CKZ Ziębice")</f>
        <v>0</v>
      </c>
      <c r="Q90" s="104">
        <f>SUMIFS('1 stopień 20_21'!$I$9:$I$773,'1 stopień 20_21'!$G$9:$G$773,D90,'1 stopień 20_21'!$K$9:$K$773,"CKZ Dobrodzień")</f>
        <v>0</v>
      </c>
      <c r="R90" s="104">
        <f>SUMIFS('1 stopień 20_21'!$I$9:$I$773,'1 stopień 20_21'!$G$9:$G$773,D90,'1 stopień 20_21'!$K$9:$K$773,"CKZ Głubczyce")</f>
        <v>0</v>
      </c>
      <c r="S90" s="104">
        <f>SUMIFS('1 stopień 20_21'!$I$9:$I$773,'1 stopień 20_21'!$G$9:$G$773,D90,'1 stopień 20_21'!$K$9:$K$773,"CKZ Kędzierzyn Kożle")</f>
        <v>0</v>
      </c>
      <c r="T90" s="104">
        <f>SUMIFS('1 stopień 20_21'!$I$9:$I$773,'1 stopień 20_21'!$G$9:$G$773,D90,'1 stopień 20_21'!$K$9:$K$773,"CKZ Kluczbork")</f>
        <v>0</v>
      </c>
      <c r="U90" s="104">
        <f>SUMIFS('1 stopień 20_21'!$I$9:$I$773,'1 stopień 20_21'!$G$9:$G$773,D90,'1 stopień 20_21'!$K$9:$K$773,"CKZ Krotoszyn")</f>
        <v>0</v>
      </c>
      <c r="V90" s="104">
        <f>SUMIFS('1 stopień 20_21'!$I$9:$I$773,'1 stopień 20_21'!$G$9:$G$773,D90,'1 stopień 20_21'!$K$9:$K$773,"CKZ Olkusz")</f>
        <v>0</v>
      </c>
      <c r="W90" s="104">
        <f>SUMIFS('1 stopień 20_21'!$I$9:$I$773,'1 stopień 20_21'!$G$9:$G$773,D90,'1 stopień 20_21'!$K$9:$K$773,"CKZ Wschowa")</f>
        <v>0</v>
      </c>
      <c r="X90" s="104">
        <f>SUMIFS('1 stopień 20_21'!$I$9:$I$773,'1 stopień 20_21'!$G$9:$G$773,D90,'1 stopień 20_21'!$K$9:$K$773,"CKZ Zielona Góra")</f>
        <v>0</v>
      </c>
      <c r="Y90" s="104">
        <f>SUMIFS('1 stopień 20_21'!$I$9:$I$773,'1 stopień 20_21'!$G$9:$G$773,D90,'1 stopień 20_21'!$K$9:$K$773,"Rzemieślnicza Wałbrzych")</f>
        <v>0</v>
      </c>
      <c r="Z90" s="104">
        <f>SUMIFS('1 stopień 20_21'!$I$9:$I$773,'1 stopień 20_21'!$G$9:$G$773,D90,'1 stopień 20_21'!$K$9:$K$773,"CKZ Mosina")</f>
        <v>0</v>
      </c>
      <c r="AA90" s="104">
        <f>SUMIFS('1 stopień 20_21'!$I$9:$I$773,'1 stopień 20_21'!$G$9:$G$773,D90,'1 stopień 20_21'!$K$9:$K$773,"CKZ Słupsk")</f>
        <v>0</v>
      </c>
      <c r="AB90" s="104">
        <f>SUMIFS('1 stopień 20_21'!$I$9:$I$773,'1 stopień 20_21'!$G$9:$G$773,D90,'1 stopień 20_21'!$K$9:$K$773,"Toyota")</f>
        <v>0</v>
      </c>
      <c r="AC90" s="104">
        <f>SUMIFS('1 stopień 20_21'!$I$9:$I$773,'1 stopień 20_21'!$G$9:$G$773,D90,'1 stopień 20_21'!$K$9:$K$773,"CKZ Wrocław")</f>
        <v>0</v>
      </c>
      <c r="AD90" s="104">
        <f>SUMIFS('1 stopień 20_21'!$I$9:$I$773,'1 stopień 20_21'!$G$9:$G$773,D90,'1 stopień 20_21'!$K$9:$K$773,"CKZ Opole")</f>
        <v>0</v>
      </c>
      <c r="AE90" s="104">
        <f>SUMIFS('1 stopień 20_21'!$I$9:$I$773,'1 stopień 20_21'!$G$9:$G$773,D90,'1 stopień 20_21'!$K$9:$K$773,"Chojnów")</f>
        <v>0</v>
      </c>
      <c r="AF90" s="104">
        <f>SUMIFS('1 stopień 20_21'!$I$9:$I$773,'1 stopień 20_21'!$G$9:$G$773,D90,'1 stopień 20_21'!$K$9:$K$773,"")</f>
        <v>0</v>
      </c>
      <c r="AG90" s="105">
        <f t="shared" si="2"/>
        <v>0</v>
      </c>
    </row>
    <row r="91" spans="2:33">
      <c r="B91" s="106" t="s">
        <v>88</v>
      </c>
      <c r="C91" s="107">
        <v>751204</v>
      </c>
      <c r="D91" s="107" t="s">
        <v>68</v>
      </c>
      <c r="E91" s="106" t="s">
        <v>782</v>
      </c>
      <c r="F91" s="103">
        <f>SUMIF('1 stopień 20_21'!G$9:G$773,D91,'1 stopień 20_21'!I$9:I$773)</f>
        <v>77</v>
      </c>
      <c r="G91" s="104">
        <f>SUMIFS('1 stopień 20_21'!$I$9:$I$773,'1 stopień 20_21'!$G$9:$G$773,D91,'1 stopień 20_21'!$K$9:$K$773,"CKZ Bielawa")</f>
        <v>0</v>
      </c>
      <c r="H91" s="104">
        <f>SUMIFS('1 stopień 20_21'!$I$9:$I$773,'1 stopień 20_21'!$G$9:$G$773,D91,'1 stopień 20_21'!$K$9:$K$773,"GCKZ Głogów")</f>
        <v>0</v>
      </c>
      <c r="I91" s="104">
        <f>SUMIFS('1 stopień 20_21'!$I$9:$I$773,'1 stopień 20_21'!$G$9:$G$773,D91,'1 stopień 20_21'!$K$9:$K$773,"CKZ Jawor")</f>
        <v>0</v>
      </c>
      <c r="J91" s="104">
        <f>SUMIFS('1 stopień 20_21'!$I$9:$I$773,'1 stopień 20_21'!$G$9:$G$773,D91,'1 stopień 20_21'!$K$9:$K$773,"JCKZ Jelenia Góra")</f>
        <v>0</v>
      </c>
      <c r="K91" s="104">
        <f>SUMIFS('1 stopień 20_21'!$I$9:$I$773,'1 stopień 20_21'!$G$9:$G$773,D91,'1 stopień 20_21'!$K$9:$K$773,"CKZ Kłodzko")</f>
        <v>0</v>
      </c>
      <c r="L91" s="104">
        <f>SUMIFS('1 stopień 20_21'!$I$9:$I$773,'1 stopień 20_21'!$G$9:$G$773,D91,'1 stopień 20_21'!$K$9:$K$773,"CKZ Legnica")</f>
        <v>15</v>
      </c>
      <c r="M91" s="104">
        <f>SUMIFS('1 stopień 20_21'!$I$9:$I$773,'1 stopień 20_21'!$G$9:$G$773,D91,'1 stopień 20_21'!$K$9:$K$773,"CKZ Oleśnica")</f>
        <v>0</v>
      </c>
      <c r="N91" s="104">
        <f>SUMIFS('1 stopień 20_21'!$I$9:$I$773,'1 stopień 20_21'!$G$9:$G$773,D91,'1 stopień 20_21'!$K$9:$K$773,"CKZ Świdnica")</f>
        <v>57</v>
      </c>
      <c r="O91" s="104">
        <f>SUMIFS('1 stopień 20_21'!$I$9:$I$773,'1 stopień 20_21'!$G$9:$G$773,D91,'1 stopień 20_21'!$K$9:$K$773,"CKZ Wołów")</f>
        <v>0</v>
      </c>
      <c r="P91" s="104">
        <f>SUMIFS('1 stopień 20_21'!$I$9:$I$773,'1 stopień 20_21'!$G$9:$G$773,D91,'1 stopień 20_21'!$K$9:$K$773,"CKZ Ziębice")</f>
        <v>0</v>
      </c>
      <c r="Q91" s="104">
        <f>SUMIFS('1 stopień 20_21'!$I$9:$I$773,'1 stopień 20_21'!$G$9:$G$773,D91,'1 stopień 20_21'!$K$9:$K$773,"CKZ Dobrodzień")</f>
        <v>0</v>
      </c>
      <c r="R91" s="104">
        <f>SUMIFS('1 stopień 20_21'!$I$9:$I$773,'1 stopień 20_21'!$G$9:$G$773,D91,'1 stopień 20_21'!$K$9:$K$773,"CKZ Głubczyce")</f>
        <v>0</v>
      </c>
      <c r="S91" s="104">
        <f>SUMIFS('1 stopień 20_21'!$I$9:$I$773,'1 stopień 20_21'!$G$9:$G$773,D91,'1 stopień 20_21'!$K$9:$K$773,"CKZ Kędzierzyn Kożle")</f>
        <v>0</v>
      </c>
      <c r="T91" s="104">
        <f>SUMIFS('1 stopień 20_21'!$I$9:$I$773,'1 stopień 20_21'!$G$9:$G$773,D91,'1 stopień 20_21'!$K$9:$K$773,"CKZ Kluczbork")</f>
        <v>0</v>
      </c>
      <c r="U91" s="104">
        <f>SUMIFS('1 stopień 20_21'!$I$9:$I$773,'1 stopień 20_21'!$G$9:$G$773,D91,'1 stopień 20_21'!$K$9:$K$773,"CKZ Krotoszyn")</f>
        <v>1</v>
      </c>
      <c r="V91" s="104">
        <f>SUMIFS('1 stopień 20_21'!$I$9:$I$773,'1 stopień 20_21'!$G$9:$G$773,D91,'1 stopień 20_21'!$K$9:$K$773,"CKZ Olkusz")</f>
        <v>0</v>
      </c>
      <c r="W91" s="104">
        <f>SUMIFS('1 stopień 20_21'!$I$9:$I$773,'1 stopień 20_21'!$G$9:$G$773,D91,'1 stopień 20_21'!$K$9:$K$773,"CKZ Wschowa")</f>
        <v>4</v>
      </c>
      <c r="X91" s="104">
        <f>SUMIFS('1 stopień 20_21'!$I$9:$I$773,'1 stopień 20_21'!$G$9:$G$773,D91,'1 stopień 20_21'!$K$9:$K$773,"CKZ Zielona Góra")</f>
        <v>0</v>
      </c>
      <c r="Y91" s="104">
        <f>SUMIFS('1 stopień 20_21'!$I$9:$I$773,'1 stopień 20_21'!$G$9:$G$773,D91,'1 stopień 20_21'!$K$9:$K$773,"Rzemieślnicza Wałbrzych")</f>
        <v>0</v>
      </c>
      <c r="Z91" s="104">
        <f>SUMIFS('1 stopień 20_21'!$I$9:$I$773,'1 stopień 20_21'!$G$9:$G$773,D91,'1 stopień 20_21'!$K$9:$K$773,"CKZ Mosina")</f>
        <v>0</v>
      </c>
      <c r="AA91" s="104">
        <f>SUMIFS('1 stopień 20_21'!$I$9:$I$773,'1 stopień 20_21'!$G$9:$G$773,D91,'1 stopień 20_21'!$K$9:$K$773,"CKZ Słupsk")</f>
        <v>0</v>
      </c>
      <c r="AB91" s="104">
        <f>SUMIFS('1 stopień 20_21'!$I$9:$I$773,'1 stopień 20_21'!$G$9:$G$773,D91,'1 stopień 20_21'!$K$9:$K$773,"Toyota")</f>
        <v>0</v>
      </c>
      <c r="AC91" s="104">
        <f>SUMIFS('1 stopień 20_21'!$I$9:$I$773,'1 stopień 20_21'!$G$9:$G$773,D91,'1 stopień 20_21'!$K$9:$K$773,"CKZ Wrocław")</f>
        <v>0</v>
      </c>
      <c r="AD91" s="104">
        <f>SUMIFS('1 stopień 20_21'!$I$9:$I$773,'1 stopień 20_21'!$G$9:$G$773,D91,'1 stopień 20_21'!$K$9:$K$773,"CKZ Opole")</f>
        <v>0</v>
      </c>
      <c r="AE91" s="104">
        <f>SUMIFS('1 stopień 20_21'!$I$9:$I$773,'1 stopień 20_21'!$G$9:$G$773,D91,'1 stopień 20_21'!$K$9:$K$773,"Chojnów")</f>
        <v>0</v>
      </c>
      <c r="AF91" s="104">
        <f>SUMIFS('1 stopień 20_21'!$I$9:$I$773,'1 stopień 20_21'!$G$9:$G$773,D91,'1 stopień 20_21'!$K$9:$K$773,"")</f>
        <v>0</v>
      </c>
      <c r="AG91" s="105">
        <f t="shared" si="2"/>
        <v>77</v>
      </c>
    </row>
    <row r="92" spans="2:33">
      <c r="B92" s="106" t="s">
        <v>268</v>
      </c>
      <c r="C92" s="107">
        <v>751108</v>
      </c>
      <c r="D92" s="107" t="s">
        <v>781</v>
      </c>
      <c r="E92" s="106" t="s">
        <v>780</v>
      </c>
      <c r="F92" s="103">
        <f>SUMIF('1 stopień 20_21'!G$9:G$773,D92,'1 stopień 20_21'!I$9:I$773)</f>
        <v>0</v>
      </c>
      <c r="G92" s="104">
        <f>SUMIFS('1 stopień 20_21'!$I$9:$I$773,'1 stopień 20_21'!$G$9:$G$773,D92,'1 stopień 20_21'!$K$9:$K$773,"CKZ Bielawa")</f>
        <v>0</v>
      </c>
      <c r="H92" s="104">
        <f>SUMIFS('1 stopień 20_21'!$I$9:$I$773,'1 stopień 20_21'!$G$9:$G$773,D92,'1 stopień 20_21'!$K$9:$K$773,"GCKZ Głogów")</f>
        <v>0</v>
      </c>
      <c r="I92" s="104">
        <f>SUMIFS('1 stopień 20_21'!$I$9:$I$773,'1 stopień 20_21'!$G$9:$G$773,D92,'1 stopień 20_21'!$K$9:$K$773,"CKZ Jawor")</f>
        <v>0</v>
      </c>
      <c r="J92" s="104">
        <f>SUMIFS('1 stopień 20_21'!$I$9:$I$773,'1 stopień 20_21'!$G$9:$G$773,D92,'1 stopień 20_21'!$K$9:$K$773,"JCKZ Jelenia Góra")</f>
        <v>0</v>
      </c>
      <c r="K92" s="104">
        <f>SUMIFS('1 stopień 20_21'!$I$9:$I$773,'1 stopień 20_21'!$G$9:$G$773,D92,'1 stopień 20_21'!$K$9:$K$773,"CKZ Kłodzko")</f>
        <v>0</v>
      </c>
      <c r="L92" s="104">
        <f>SUMIFS('1 stopień 20_21'!$I$9:$I$773,'1 stopień 20_21'!$G$9:$G$773,D92,'1 stopień 20_21'!$K$9:$K$773,"CKZ Legnica")</f>
        <v>0</v>
      </c>
      <c r="M92" s="104">
        <f>SUMIFS('1 stopień 20_21'!$I$9:$I$773,'1 stopień 20_21'!$G$9:$G$773,D92,'1 stopień 20_21'!$K$9:$K$773,"CKZ Oleśnica")</f>
        <v>0</v>
      </c>
      <c r="N92" s="104">
        <f>SUMIFS('1 stopień 20_21'!$I$9:$I$773,'1 stopień 20_21'!$G$9:$G$773,D92,'1 stopień 20_21'!$K$9:$K$773,"CKZ Świdnica")</f>
        <v>0</v>
      </c>
      <c r="O92" s="104">
        <f>SUMIFS('1 stopień 20_21'!$I$9:$I$773,'1 stopień 20_21'!$G$9:$G$773,D92,'1 stopień 20_21'!$K$9:$K$773,"CKZ Wołów")</f>
        <v>0</v>
      </c>
      <c r="P92" s="104">
        <f>SUMIFS('1 stopień 20_21'!$I$9:$I$773,'1 stopień 20_21'!$G$9:$G$773,D92,'1 stopień 20_21'!$K$9:$K$773,"CKZ Ziębice")</f>
        <v>0</v>
      </c>
      <c r="Q92" s="104">
        <f>SUMIFS('1 stopień 20_21'!$I$9:$I$773,'1 stopień 20_21'!$G$9:$G$773,D92,'1 stopień 20_21'!$K$9:$K$773,"CKZ Dobrodzień")</f>
        <v>0</v>
      </c>
      <c r="R92" s="104">
        <f>SUMIFS('1 stopień 20_21'!$I$9:$I$773,'1 stopień 20_21'!$G$9:$G$773,D92,'1 stopień 20_21'!$K$9:$K$773,"CKZ Głubczyce")</f>
        <v>0</v>
      </c>
      <c r="S92" s="104">
        <f>SUMIFS('1 stopień 20_21'!$I$9:$I$773,'1 stopień 20_21'!$G$9:$G$773,D92,'1 stopień 20_21'!$K$9:$K$773,"CKZ Kędzierzyn Kożle")</f>
        <v>0</v>
      </c>
      <c r="T92" s="104">
        <f>SUMIFS('1 stopień 20_21'!$I$9:$I$773,'1 stopień 20_21'!$G$9:$G$773,D92,'1 stopień 20_21'!$K$9:$K$773,"CKZ Kluczbork")</f>
        <v>0</v>
      </c>
      <c r="U92" s="104">
        <f>SUMIFS('1 stopień 20_21'!$I$9:$I$773,'1 stopień 20_21'!$G$9:$G$773,D92,'1 stopień 20_21'!$K$9:$K$773,"CKZ Krotoszyn")</f>
        <v>0</v>
      </c>
      <c r="V92" s="104">
        <f>SUMIFS('1 stopień 20_21'!$I$9:$I$773,'1 stopień 20_21'!$G$9:$G$773,D92,'1 stopień 20_21'!$K$9:$K$773,"CKZ Olkusz")</f>
        <v>0</v>
      </c>
      <c r="W92" s="104">
        <f>SUMIFS('1 stopień 20_21'!$I$9:$I$773,'1 stopień 20_21'!$G$9:$G$773,D92,'1 stopień 20_21'!$K$9:$K$773,"CKZ Wschowa")</f>
        <v>0</v>
      </c>
      <c r="X92" s="104">
        <f>SUMIFS('1 stopień 20_21'!$I$9:$I$773,'1 stopień 20_21'!$G$9:$G$773,D92,'1 stopień 20_21'!$K$9:$K$773,"CKZ Zielona Góra")</f>
        <v>0</v>
      </c>
      <c r="Y92" s="104">
        <f>SUMIFS('1 stopień 20_21'!$I$9:$I$773,'1 stopień 20_21'!$G$9:$G$773,D92,'1 stopień 20_21'!$K$9:$K$773,"Rzemieślnicza Wałbrzych")</f>
        <v>0</v>
      </c>
      <c r="Z92" s="104">
        <f>SUMIFS('1 stopień 20_21'!$I$9:$I$773,'1 stopień 20_21'!$G$9:$G$773,D92,'1 stopień 20_21'!$K$9:$K$773,"CKZ Mosina")</f>
        <v>0</v>
      </c>
      <c r="AA92" s="104">
        <f>SUMIFS('1 stopień 20_21'!$I$9:$I$773,'1 stopień 20_21'!$G$9:$G$773,D92,'1 stopień 20_21'!$K$9:$K$773,"CKZ Słupsk")</f>
        <v>0</v>
      </c>
      <c r="AB92" s="104">
        <f>SUMIFS('1 stopień 20_21'!$I$9:$I$773,'1 stopień 20_21'!$G$9:$G$773,D92,'1 stopień 20_21'!$K$9:$K$773,"Toyota")</f>
        <v>0</v>
      </c>
      <c r="AC92" s="104">
        <f>SUMIFS('1 stopień 20_21'!$I$9:$I$773,'1 stopień 20_21'!$G$9:$G$773,D92,'1 stopień 20_21'!$K$9:$K$773,"CKZ Wrocław")</f>
        <v>0</v>
      </c>
      <c r="AD92" s="104">
        <f>SUMIFS('1 stopień 20_21'!$I$9:$I$773,'1 stopień 20_21'!$G$9:$G$773,D92,'1 stopień 20_21'!$K$9:$K$773,"CKZ Opole")</f>
        <v>0</v>
      </c>
      <c r="AE92" s="104">
        <f>SUMIFS('1 stopień 20_21'!$I$9:$I$773,'1 stopień 20_21'!$G$9:$G$773,D92,'1 stopień 20_21'!$K$9:$K$773,"Chojnów")</f>
        <v>0</v>
      </c>
      <c r="AF92" s="104">
        <f>SUMIFS('1 stopień 20_21'!$I$9:$I$773,'1 stopień 20_21'!$G$9:$G$773,D92,'1 stopień 20_21'!$K$9:$K$773,"")</f>
        <v>0</v>
      </c>
      <c r="AG92" s="105">
        <f t="shared" si="2"/>
        <v>0</v>
      </c>
    </row>
    <row r="93" spans="2:33">
      <c r="B93" s="106" t="s">
        <v>651</v>
      </c>
      <c r="C93" s="107">
        <v>751103</v>
      </c>
      <c r="D93" s="107" t="s">
        <v>1400</v>
      </c>
      <c r="E93" s="106" t="s">
        <v>778</v>
      </c>
      <c r="F93" s="103">
        <f>SUMIF('1 stopień 20_21'!G$9:G$773,D93,'1 stopień 20_21'!I$9:I$773)</f>
        <v>0</v>
      </c>
      <c r="G93" s="104">
        <f>SUMIFS('1 stopień 20_21'!$I$9:$I$773,'1 stopień 20_21'!$G$9:$G$773,D93,'1 stopień 20_21'!$K$9:$K$773,"CKZ Bielawa")</f>
        <v>0</v>
      </c>
      <c r="H93" s="104">
        <f>SUMIFS('1 stopień 20_21'!$I$9:$I$773,'1 stopień 20_21'!$G$9:$G$773,D93,'1 stopień 20_21'!$K$9:$K$773,"GCKZ Głogów")</f>
        <v>0</v>
      </c>
      <c r="I93" s="104">
        <f>SUMIFS('1 stopień 20_21'!$I$9:$I$773,'1 stopień 20_21'!$G$9:$G$773,D93,'1 stopień 20_21'!$K$9:$K$773,"CKZ Jawor")</f>
        <v>0</v>
      </c>
      <c r="J93" s="104">
        <f>SUMIFS('1 stopień 20_21'!$I$9:$I$773,'1 stopień 20_21'!$G$9:$G$773,D93,'1 stopień 20_21'!$K$9:$K$773,"JCKZ Jelenia Góra")</f>
        <v>0</v>
      </c>
      <c r="K93" s="104">
        <f>SUMIFS('1 stopień 20_21'!$I$9:$I$773,'1 stopień 20_21'!$G$9:$G$773,D93,'1 stopień 20_21'!$K$9:$K$773,"CKZ Kłodzko")</f>
        <v>0</v>
      </c>
      <c r="L93" s="104">
        <f>SUMIFS('1 stopień 20_21'!$I$9:$I$773,'1 stopień 20_21'!$G$9:$G$773,D93,'1 stopień 20_21'!$K$9:$K$773,"CKZ Legnica")</f>
        <v>0</v>
      </c>
      <c r="M93" s="104">
        <f>SUMIFS('1 stopień 20_21'!$I$9:$I$773,'1 stopień 20_21'!$G$9:$G$773,D93,'1 stopień 20_21'!$K$9:$K$773,"CKZ Oleśnica")</f>
        <v>0</v>
      </c>
      <c r="N93" s="104">
        <f>SUMIFS('1 stopień 20_21'!$I$9:$I$773,'1 stopień 20_21'!$G$9:$G$773,D93,'1 stopień 20_21'!$K$9:$K$773,"CKZ Świdnica")</f>
        <v>0</v>
      </c>
      <c r="O93" s="104">
        <f>SUMIFS('1 stopień 20_21'!$I$9:$I$773,'1 stopień 20_21'!$G$9:$G$773,D93,'1 stopień 20_21'!$K$9:$K$773,"CKZ Wołów")</f>
        <v>0</v>
      </c>
      <c r="P93" s="104">
        <f>SUMIFS('1 stopień 20_21'!$I$9:$I$773,'1 stopień 20_21'!$G$9:$G$773,D93,'1 stopień 20_21'!$K$9:$K$773,"CKZ Ziębice")</f>
        <v>0</v>
      </c>
      <c r="Q93" s="104">
        <f>SUMIFS('1 stopień 20_21'!$I$9:$I$773,'1 stopień 20_21'!$G$9:$G$773,D93,'1 stopień 20_21'!$K$9:$K$773,"CKZ Dobrodzień")</f>
        <v>0</v>
      </c>
      <c r="R93" s="104">
        <f>SUMIFS('1 stopień 20_21'!$I$9:$I$773,'1 stopień 20_21'!$G$9:$G$773,D93,'1 stopień 20_21'!$K$9:$K$773,"CKZ Głubczyce")</f>
        <v>0</v>
      </c>
      <c r="S93" s="104">
        <f>SUMIFS('1 stopień 20_21'!$I$9:$I$773,'1 stopień 20_21'!$G$9:$G$773,D93,'1 stopień 20_21'!$K$9:$K$773,"CKZ Kędzierzyn Kożle")</f>
        <v>0</v>
      </c>
      <c r="T93" s="104">
        <f>SUMIFS('1 stopień 20_21'!$I$9:$I$773,'1 stopień 20_21'!$G$9:$G$773,D93,'1 stopień 20_21'!$K$9:$K$773,"CKZ Kluczbork")</f>
        <v>0</v>
      </c>
      <c r="U93" s="104">
        <f>SUMIFS('1 stopień 20_21'!$I$9:$I$773,'1 stopień 20_21'!$G$9:$G$773,D93,'1 stopień 20_21'!$K$9:$K$773,"CKZ Krotoszyn")</f>
        <v>0</v>
      </c>
      <c r="V93" s="104">
        <f>SUMIFS('1 stopień 20_21'!$I$9:$I$773,'1 stopień 20_21'!$G$9:$G$773,D93,'1 stopień 20_21'!$K$9:$K$773,"CKZ Olkusz")</f>
        <v>0</v>
      </c>
      <c r="W93" s="104">
        <f>SUMIFS('1 stopień 20_21'!$I$9:$I$773,'1 stopień 20_21'!$G$9:$G$773,D93,'1 stopień 20_21'!$K$9:$K$773,"CKZ Wschowa")</f>
        <v>0</v>
      </c>
      <c r="X93" s="104">
        <f>SUMIFS('1 stopień 20_21'!$I$9:$I$773,'1 stopień 20_21'!$G$9:$G$773,D93,'1 stopień 20_21'!$K$9:$K$773,"CKZ Zielona Góra")</f>
        <v>0</v>
      </c>
      <c r="Y93" s="104">
        <f>SUMIFS('1 stopień 20_21'!$I$9:$I$773,'1 stopień 20_21'!$G$9:$G$773,D93,'1 stopień 20_21'!$K$9:$K$773,"Rzemieślnicza Wałbrzych")</f>
        <v>0</v>
      </c>
      <c r="Z93" s="104">
        <f>SUMIFS('1 stopień 20_21'!$I$9:$I$773,'1 stopień 20_21'!$G$9:$G$773,D93,'1 stopień 20_21'!$K$9:$K$773,"CKZ Mosina")</f>
        <v>0</v>
      </c>
      <c r="AA93" s="104">
        <f>SUMIFS('1 stopień 20_21'!$I$9:$I$773,'1 stopień 20_21'!$G$9:$G$773,D93,'1 stopień 20_21'!$K$9:$K$773,"CKZ Słupsk")</f>
        <v>0</v>
      </c>
      <c r="AB93" s="104">
        <f>SUMIFS('1 stopień 20_21'!$I$9:$I$773,'1 stopień 20_21'!$G$9:$G$773,D93,'1 stopień 20_21'!$K$9:$K$773,"Toyota")</f>
        <v>0</v>
      </c>
      <c r="AC93" s="104">
        <f>SUMIFS('1 stopień 20_21'!$I$9:$I$773,'1 stopień 20_21'!$G$9:$G$773,D93,'1 stopień 20_21'!$K$9:$K$773,"CKZ Wrocław")</f>
        <v>0</v>
      </c>
      <c r="AD93" s="104">
        <f>SUMIFS('1 stopień 20_21'!$I$9:$I$773,'1 stopień 20_21'!$G$9:$G$773,D93,'1 stopień 20_21'!$K$9:$K$773,"CKZ Opole")</f>
        <v>0</v>
      </c>
      <c r="AE93" s="104">
        <f>SUMIFS('1 stopień 20_21'!$I$9:$I$773,'1 stopień 20_21'!$G$9:$G$773,D93,'1 stopień 20_21'!$K$9:$K$773,"Chojnów")</f>
        <v>0</v>
      </c>
      <c r="AF93" s="104">
        <f>SUMIFS('1 stopień 20_21'!$I$9:$I$773,'1 stopień 20_21'!$G$9:$G$773,D93,'1 stopień 20_21'!$K$9:$K$773,"")</f>
        <v>0</v>
      </c>
      <c r="AG93" s="105">
        <f t="shared" si="2"/>
        <v>0</v>
      </c>
    </row>
    <row r="94" spans="2:33">
      <c r="B94" s="106" t="s">
        <v>652</v>
      </c>
      <c r="C94" s="107">
        <v>742202</v>
      </c>
      <c r="D94" s="107" t="s">
        <v>777</v>
      </c>
      <c r="E94" s="106" t="s">
        <v>776</v>
      </c>
      <c r="F94" s="103">
        <f>SUMIF('1 stopień 20_21'!G$9:G$773,D94,'1 stopień 20_21'!I$9:I$773)</f>
        <v>0</v>
      </c>
      <c r="G94" s="104">
        <f>SUMIFS('1 stopień 20_21'!$I$9:$I$773,'1 stopień 20_21'!$G$9:$G$773,D94,'1 stopień 20_21'!$K$9:$K$773,"CKZ Bielawa")</f>
        <v>0</v>
      </c>
      <c r="H94" s="104">
        <f>SUMIFS('1 stopień 20_21'!$I$9:$I$773,'1 stopień 20_21'!$G$9:$G$773,D94,'1 stopień 20_21'!$K$9:$K$773,"GCKZ Głogów")</f>
        <v>0</v>
      </c>
      <c r="I94" s="104">
        <f>SUMIFS('1 stopień 20_21'!$I$9:$I$773,'1 stopień 20_21'!$G$9:$G$773,D94,'1 stopień 20_21'!$K$9:$K$773,"CKZ Jawor")</f>
        <v>0</v>
      </c>
      <c r="J94" s="104">
        <f>SUMIFS('1 stopień 20_21'!$I$9:$I$773,'1 stopień 20_21'!$G$9:$G$773,D94,'1 stopień 20_21'!$K$9:$K$773,"JCKZ Jelenia Góra")</f>
        <v>0</v>
      </c>
      <c r="K94" s="104">
        <f>SUMIFS('1 stopień 20_21'!$I$9:$I$773,'1 stopień 20_21'!$G$9:$G$773,D94,'1 stopień 20_21'!$K$9:$K$773,"CKZ Kłodzko")</f>
        <v>0</v>
      </c>
      <c r="L94" s="104">
        <f>SUMIFS('1 stopień 20_21'!$I$9:$I$773,'1 stopień 20_21'!$G$9:$G$773,D94,'1 stopień 20_21'!$K$9:$K$773,"CKZ Legnica")</f>
        <v>0</v>
      </c>
      <c r="M94" s="104">
        <f>SUMIFS('1 stopień 20_21'!$I$9:$I$773,'1 stopień 20_21'!$G$9:$G$773,D94,'1 stopień 20_21'!$K$9:$K$773,"CKZ Oleśnica")</f>
        <v>0</v>
      </c>
      <c r="N94" s="104">
        <f>SUMIFS('1 stopień 20_21'!$I$9:$I$773,'1 stopień 20_21'!$G$9:$G$773,D94,'1 stopień 20_21'!$K$9:$K$773,"CKZ Świdnica")</f>
        <v>0</v>
      </c>
      <c r="O94" s="104">
        <f>SUMIFS('1 stopień 20_21'!$I$9:$I$773,'1 stopień 20_21'!$G$9:$G$773,D94,'1 stopień 20_21'!$K$9:$K$773,"CKZ Wołów")</f>
        <v>0</v>
      </c>
      <c r="P94" s="104">
        <f>SUMIFS('1 stopień 20_21'!$I$9:$I$773,'1 stopień 20_21'!$G$9:$G$773,D94,'1 stopień 20_21'!$K$9:$K$773,"CKZ Ziębice")</f>
        <v>0</v>
      </c>
      <c r="Q94" s="104">
        <f>SUMIFS('1 stopień 20_21'!$I$9:$I$773,'1 stopień 20_21'!$G$9:$G$773,D94,'1 stopień 20_21'!$K$9:$K$773,"CKZ Dobrodzień")</f>
        <v>0</v>
      </c>
      <c r="R94" s="104">
        <f>SUMIFS('1 stopień 20_21'!$I$9:$I$773,'1 stopień 20_21'!$G$9:$G$773,D94,'1 stopień 20_21'!$K$9:$K$773,"CKZ Głubczyce")</f>
        <v>0</v>
      </c>
      <c r="S94" s="104">
        <f>SUMIFS('1 stopień 20_21'!$I$9:$I$773,'1 stopień 20_21'!$G$9:$G$773,D94,'1 stopień 20_21'!$K$9:$K$773,"CKZ Kędzierzyn Kożle")</f>
        <v>0</v>
      </c>
      <c r="T94" s="104">
        <f>SUMIFS('1 stopień 20_21'!$I$9:$I$773,'1 stopień 20_21'!$G$9:$G$773,D94,'1 stopień 20_21'!$K$9:$K$773,"CKZ Kluczbork")</f>
        <v>0</v>
      </c>
      <c r="U94" s="104">
        <f>SUMIFS('1 stopień 20_21'!$I$9:$I$773,'1 stopień 20_21'!$G$9:$G$773,D94,'1 stopień 20_21'!$K$9:$K$773,"CKZ Krotoszyn")</f>
        <v>0</v>
      </c>
      <c r="V94" s="104">
        <f>SUMIFS('1 stopień 20_21'!$I$9:$I$773,'1 stopień 20_21'!$G$9:$G$773,D94,'1 stopień 20_21'!$K$9:$K$773,"CKZ Olkusz")</f>
        <v>0</v>
      </c>
      <c r="W94" s="104">
        <f>SUMIFS('1 stopień 20_21'!$I$9:$I$773,'1 stopień 20_21'!$G$9:$G$773,D94,'1 stopień 20_21'!$K$9:$K$773,"CKZ Wschowa")</f>
        <v>0</v>
      </c>
      <c r="X94" s="104">
        <f>SUMIFS('1 stopień 20_21'!$I$9:$I$773,'1 stopień 20_21'!$G$9:$G$773,D94,'1 stopień 20_21'!$K$9:$K$773,"CKZ Zielona Góra")</f>
        <v>0</v>
      </c>
      <c r="Y94" s="104">
        <f>SUMIFS('1 stopień 20_21'!$I$9:$I$773,'1 stopień 20_21'!$G$9:$G$773,D94,'1 stopień 20_21'!$K$9:$K$773,"Rzemieślnicza Wałbrzych")</f>
        <v>0</v>
      </c>
      <c r="Z94" s="104">
        <f>SUMIFS('1 stopień 20_21'!$I$9:$I$773,'1 stopień 20_21'!$G$9:$G$773,D94,'1 stopień 20_21'!$K$9:$K$773,"CKZ Mosina")</f>
        <v>0</v>
      </c>
      <c r="AA94" s="104">
        <f>SUMIFS('1 stopień 20_21'!$I$9:$I$773,'1 stopień 20_21'!$G$9:$G$773,D94,'1 stopień 20_21'!$K$9:$K$773,"CKZ Słupsk")</f>
        <v>0</v>
      </c>
      <c r="AB94" s="104">
        <f>SUMIFS('1 stopień 20_21'!$I$9:$I$773,'1 stopień 20_21'!$G$9:$G$773,D94,'1 stopień 20_21'!$K$9:$K$773,"Toyota")</f>
        <v>0</v>
      </c>
      <c r="AC94" s="104">
        <f>SUMIFS('1 stopień 20_21'!$I$9:$I$773,'1 stopień 20_21'!$G$9:$G$773,D94,'1 stopień 20_21'!$K$9:$K$773,"CKZ Wrocław")</f>
        <v>0</v>
      </c>
      <c r="AD94" s="104">
        <f>SUMIFS('1 stopień 20_21'!$I$9:$I$773,'1 stopień 20_21'!$G$9:$G$773,D94,'1 stopień 20_21'!$K$9:$K$773,"CKZ Opole")</f>
        <v>0</v>
      </c>
      <c r="AE94" s="104">
        <f>SUMIFS('1 stopień 20_21'!$I$9:$I$773,'1 stopień 20_21'!$G$9:$G$773,D94,'1 stopień 20_21'!$K$9:$K$773,"Chojnów")</f>
        <v>0</v>
      </c>
      <c r="AF94" s="104">
        <f>SUMIFS('1 stopień 20_21'!$I$9:$I$773,'1 stopień 20_21'!$G$9:$G$773,D94,'1 stopień 20_21'!$K$9:$K$773,"")</f>
        <v>0</v>
      </c>
      <c r="AG94" s="105">
        <f t="shared" si="2"/>
        <v>0</v>
      </c>
    </row>
    <row r="95" spans="2:33">
      <c r="B95" s="106" t="s">
        <v>518</v>
      </c>
      <c r="C95" s="107">
        <v>832201</v>
      </c>
      <c r="D95" s="107" t="s">
        <v>520</v>
      </c>
      <c r="E95" s="106" t="s">
        <v>775</v>
      </c>
      <c r="F95" s="103">
        <f>SUMIF('1 stopień 20_21'!G$9:G$773,D95,'1 stopień 20_21'!I$9:I$773)</f>
        <v>12</v>
      </c>
      <c r="G95" s="104">
        <f>SUMIFS('1 stopień 20_21'!$I$9:$I$773,'1 stopień 20_21'!$G$9:$G$773,D95,'1 stopień 20_21'!$K$9:$K$773,"CKZ Bielawa")</f>
        <v>0</v>
      </c>
      <c r="H95" s="104">
        <f>SUMIFS('1 stopień 20_21'!$I$9:$I$773,'1 stopień 20_21'!$G$9:$G$773,D95,'1 stopień 20_21'!$K$9:$K$773,"GCKZ Głogów")</f>
        <v>0</v>
      </c>
      <c r="I95" s="104">
        <f>SUMIFS('1 stopień 20_21'!$I$9:$I$773,'1 stopień 20_21'!$G$9:$G$773,D95,'1 stopień 20_21'!$K$9:$K$773,"CKZ Jawor")</f>
        <v>0</v>
      </c>
      <c r="J95" s="104">
        <f>SUMIFS('1 stopień 20_21'!$I$9:$I$773,'1 stopień 20_21'!$G$9:$G$773,D95,'1 stopień 20_21'!$K$9:$K$773,"JCKZ Jelenia Góra")</f>
        <v>0</v>
      </c>
      <c r="K95" s="104">
        <f>SUMIFS('1 stopień 20_21'!$I$9:$I$773,'1 stopień 20_21'!$G$9:$G$773,D95,'1 stopień 20_21'!$K$9:$K$773,"CKZ Kłodzko")</f>
        <v>0</v>
      </c>
      <c r="L95" s="104">
        <f>SUMIFS('1 stopień 20_21'!$I$9:$I$773,'1 stopień 20_21'!$G$9:$G$773,D95,'1 stopień 20_21'!$K$9:$K$773,"CKZ Legnica")</f>
        <v>0</v>
      </c>
      <c r="M95" s="104">
        <f>SUMIFS('1 stopień 20_21'!$I$9:$I$773,'1 stopień 20_21'!$G$9:$G$773,D95,'1 stopień 20_21'!$K$9:$K$773,"CKZ Oleśnica")</f>
        <v>0</v>
      </c>
      <c r="N95" s="104">
        <f>SUMIFS('1 stopień 20_21'!$I$9:$I$773,'1 stopień 20_21'!$G$9:$G$773,D95,'1 stopień 20_21'!$K$9:$K$773,"CKZ Świdnica")</f>
        <v>0</v>
      </c>
      <c r="O95" s="104">
        <f>SUMIFS('1 stopień 20_21'!$I$9:$I$773,'1 stopień 20_21'!$G$9:$G$773,D95,'1 stopień 20_21'!$K$9:$K$773,"CKZ Wołów")</f>
        <v>0</v>
      </c>
      <c r="P95" s="104">
        <f>SUMIFS('1 stopień 20_21'!$I$9:$I$773,'1 stopień 20_21'!$G$9:$G$773,D95,'1 stopień 20_21'!$K$9:$K$773,"CKZ Ziębice")</f>
        <v>0</v>
      </c>
      <c r="Q95" s="104">
        <f>SUMIFS('1 stopień 20_21'!$I$9:$I$773,'1 stopień 20_21'!$G$9:$G$773,D95,'1 stopień 20_21'!$K$9:$K$773,"CKZ Dobrodzień")</f>
        <v>0</v>
      </c>
      <c r="R95" s="104">
        <f>SUMIFS('1 stopień 20_21'!$I$9:$I$773,'1 stopień 20_21'!$G$9:$G$773,D95,'1 stopień 20_21'!$K$9:$K$773,"CKZ Głubczyce")</f>
        <v>0</v>
      </c>
      <c r="S95" s="104">
        <f>SUMIFS('1 stopień 20_21'!$I$9:$I$773,'1 stopień 20_21'!$G$9:$G$773,D95,'1 stopień 20_21'!$K$9:$K$773,"CKZ Kędzierzyn Kożle")</f>
        <v>0</v>
      </c>
      <c r="T95" s="104">
        <f>SUMIFS('1 stopień 20_21'!$I$9:$I$773,'1 stopień 20_21'!$G$9:$G$773,D95,'1 stopień 20_21'!$K$9:$K$773,"CKZ Kluczbork")</f>
        <v>0</v>
      </c>
      <c r="U95" s="104">
        <f>SUMIFS('1 stopień 20_21'!$I$9:$I$773,'1 stopień 20_21'!$G$9:$G$773,D95,'1 stopień 20_21'!$K$9:$K$773,"CKZ Krotoszyn")</f>
        <v>0</v>
      </c>
      <c r="V95" s="104">
        <f>SUMIFS('1 stopień 20_21'!$I$9:$I$773,'1 stopień 20_21'!$G$9:$G$773,D95,'1 stopień 20_21'!$K$9:$K$773,"CKZ Olkusz")</f>
        <v>0</v>
      </c>
      <c r="W95" s="104">
        <f>SUMIFS('1 stopień 20_21'!$I$9:$I$773,'1 stopień 20_21'!$G$9:$G$773,D95,'1 stopień 20_21'!$K$9:$K$773,"CKZ Wschowa")</f>
        <v>0</v>
      </c>
      <c r="X95" s="104">
        <f>SUMIFS('1 stopień 20_21'!$I$9:$I$773,'1 stopień 20_21'!$G$9:$G$773,D95,'1 stopień 20_21'!$K$9:$K$773,"CKZ Zielona Góra")</f>
        <v>12</v>
      </c>
      <c r="Y95" s="104">
        <f>SUMIFS('1 stopień 20_21'!$I$9:$I$773,'1 stopień 20_21'!$G$9:$G$773,D95,'1 stopień 20_21'!$K$9:$K$773,"Rzemieślnicza Wałbrzych")</f>
        <v>0</v>
      </c>
      <c r="Z95" s="104">
        <f>SUMIFS('1 stopień 20_21'!$I$9:$I$773,'1 stopień 20_21'!$G$9:$G$773,D95,'1 stopień 20_21'!$K$9:$K$773,"CKZ Mosina")</f>
        <v>0</v>
      </c>
      <c r="AA95" s="104">
        <f>SUMIFS('1 stopień 20_21'!$I$9:$I$773,'1 stopień 20_21'!$G$9:$G$773,D95,'1 stopień 20_21'!$K$9:$K$773,"CKZ Słupsk")</f>
        <v>0</v>
      </c>
      <c r="AB95" s="104">
        <f>SUMIFS('1 stopień 20_21'!$I$9:$I$773,'1 stopień 20_21'!$G$9:$G$773,D95,'1 stopień 20_21'!$K$9:$K$773,"Toyota")</f>
        <v>0</v>
      </c>
      <c r="AC95" s="104">
        <f>SUMIFS('1 stopień 20_21'!$I$9:$I$773,'1 stopień 20_21'!$G$9:$G$773,D95,'1 stopień 20_21'!$K$9:$K$773,"CKZ Wrocław")</f>
        <v>0</v>
      </c>
      <c r="AD95" s="104">
        <f>SUMIFS('1 stopień 20_21'!$I$9:$I$773,'1 stopień 20_21'!$G$9:$G$773,D95,'1 stopień 20_21'!$K$9:$K$773,"CKZ Opole")</f>
        <v>0</v>
      </c>
      <c r="AE95" s="104">
        <f>SUMIFS('1 stopień 20_21'!$I$9:$I$773,'1 stopień 20_21'!$G$9:$G$773,D95,'1 stopień 20_21'!$K$9:$K$773,"Chojnów")</f>
        <v>0</v>
      </c>
      <c r="AF95" s="104">
        <f>SUMIFS('1 stopień 20_21'!$I$9:$I$773,'1 stopień 20_21'!$G$9:$G$773,D95,'1 stopień 20_21'!$K$9:$K$773,"")</f>
        <v>0</v>
      </c>
      <c r="AG95" s="105">
        <f t="shared" si="2"/>
        <v>12</v>
      </c>
    </row>
    <row r="96" spans="2:33">
      <c r="B96" s="106" t="s">
        <v>653</v>
      </c>
      <c r="C96" s="107">
        <v>711603</v>
      </c>
      <c r="D96" s="107" t="s">
        <v>774</v>
      </c>
      <c r="E96" s="106" t="s">
        <v>773</v>
      </c>
      <c r="F96" s="103">
        <f>SUMIF('1 stopień 20_21'!G$9:G$773,D96,'1 stopień 20_21'!I$9:I$773)</f>
        <v>0</v>
      </c>
      <c r="G96" s="104">
        <f>SUMIFS('1 stopień 20_21'!$I$9:$I$773,'1 stopień 20_21'!$G$9:$G$773,D96,'1 stopień 20_21'!$K$9:$K$773,"CKZ Bielawa")</f>
        <v>0</v>
      </c>
      <c r="H96" s="104">
        <f>SUMIFS('1 stopień 20_21'!$I$9:$I$773,'1 stopień 20_21'!$G$9:$G$773,D96,'1 stopień 20_21'!$K$9:$K$773,"GCKZ Głogów")</f>
        <v>0</v>
      </c>
      <c r="I96" s="104">
        <f>SUMIFS('1 stopień 20_21'!$I$9:$I$773,'1 stopień 20_21'!$G$9:$G$773,D96,'1 stopień 20_21'!$K$9:$K$773,"CKZ Jawor")</f>
        <v>0</v>
      </c>
      <c r="J96" s="104">
        <f>SUMIFS('1 stopień 20_21'!$I$9:$I$773,'1 stopień 20_21'!$G$9:$G$773,D96,'1 stopień 20_21'!$K$9:$K$773,"JCKZ Jelenia Góra")</f>
        <v>0</v>
      </c>
      <c r="K96" s="104">
        <f>SUMIFS('1 stopień 20_21'!$I$9:$I$773,'1 stopień 20_21'!$G$9:$G$773,D96,'1 stopień 20_21'!$K$9:$K$773,"CKZ Kłodzko")</f>
        <v>0</v>
      </c>
      <c r="L96" s="104">
        <f>SUMIFS('1 stopień 20_21'!$I$9:$I$773,'1 stopień 20_21'!$G$9:$G$773,D96,'1 stopień 20_21'!$K$9:$K$773,"CKZ Legnica")</f>
        <v>0</v>
      </c>
      <c r="M96" s="104">
        <f>SUMIFS('1 stopień 20_21'!$I$9:$I$773,'1 stopień 20_21'!$G$9:$G$773,D96,'1 stopień 20_21'!$K$9:$K$773,"CKZ Oleśnica")</f>
        <v>0</v>
      </c>
      <c r="N96" s="104">
        <f>SUMIFS('1 stopień 20_21'!$I$9:$I$773,'1 stopień 20_21'!$G$9:$G$773,D96,'1 stopień 20_21'!$K$9:$K$773,"CKZ Świdnica")</f>
        <v>0</v>
      </c>
      <c r="O96" s="104">
        <f>SUMIFS('1 stopień 20_21'!$I$9:$I$773,'1 stopień 20_21'!$G$9:$G$773,D96,'1 stopień 20_21'!$K$9:$K$773,"CKZ Wołów")</f>
        <v>0</v>
      </c>
      <c r="P96" s="104">
        <f>SUMIFS('1 stopień 20_21'!$I$9:$I$773,'1 stopień 20_21'!$G$9:$G$773,D96,'1 stopień 20_21'!$K$9:$K$773,"CKZ Ziębice")</f>
        <v>0</v>
      </c>
      <c r="Q96" s="104">
        <f>SUMIFS('1 stopień 20_21'!$I$9:$I$773,'1 stopień 20_21'!$G$9:$G$773,D96,'1 stopień 20_21'!$K$9:$K$773,"CKZ Dobrodzień")</f>
        <v>0</v>
      </c>
      <c r="R96" s="104">
        <f>SUMIFS('1 stopień 20_21'!$I$9:$I$773,'1 stopień 20_21'!$G$9:$G$773,D96,'1 stopień 20_21'!$K$9:$K$773,"CKZ Głubczyce")</f>
        <v>0</v>
      </c>
      <c r="S96" s="104">
        <f>SUMIFS('1 stopień 20_21'!$I$9:$I$773,'1 stopień 20_21'!$G$9:$G$773,D96,'1 stopień 20_21'!$K$9:$K$773,"CKZ Kędzierzyn Kożle")</f>
        <v>0</v>
      </c>
      <c r="T96" s="104">
        <f>SUMIFS('1 stopień 20_21'!$I$9:$I$773,'1 stopień 20_21'!$G$9:$G$773,D96,'1 stopień 20_21'!$K$9:$K$773,"CKZ Kluczbork")</f>
        <v>0</v>
      </c>
      <c r="U96" s="104">
        <f>SUMIFS('1 stopień 20_21'!$I$9:$I$773,'1 stopień 20_21'!$G$9:$G$773,D96,'1 stopień 20_21'!$K$9:$K$773,"CKZ Krotoszyn")</f>
        <v>0</v>
      </c>
      <c r="V96" s="104">
        <f>SUMIFS('1 stopień 20_21'!$I$9:$I$773,'1 stopień 20_21'!$G$9:$G$773,D96,'1 stopień 20_21'!$K$9:$K$773,"CKZ Olkusz")</f>
        <v>0</v>
      </c>
      <c r="W96" s="104">
        <f>SUMIFS('1 stopień 20_21'!$I$9:$I$773,'1 stopień 20_21'!$G$9:$G$773,D96,'1 stopień 20_21'!$K$9:$K$773,"CKZ Wschowa")</f>
        <v>0</v>
      </c>
      <c r="X96" s="104">
        <f>SUMIFS('1 stopień 20_21'!$I$9:$I$773,'1 stopień 20_21'!$G$9:$G$773,D96,'1 stopień 20_21'!$K$9:$K$773,"CKZ Zielona Góra")</f>
        <v>0</v>
      </c>
      <c r="Y96" s="104">
        <f>SUMIFS('1 stopień 20_21'!$I$9:$I$773,'1 stopień 20_21'!$G$9:$G$773,D96,'1 stopień 20_21'!$K$9:$K$773,"Rzemieślnicza Wałbrzych")</f>
        <v>0</v>
      </c>
      <c r="Z96" s="104">
        <f>SUMIFS('1 stopień 20_21'!$I$9:$I$773,'1 stopień 20_21'!$G$9:$G$773,D96,'1 stopień 20_21'!$K$9:$K$773,"CKZ Mosina")</f>
        <v>0</v>
      </c>
      <c r="AA96" s="104">
        <f>SUMIFS('1 stopień 20_21'!$I$9:$I$773,'1 stopień 20_21'!$G$9:$G$773,D96,'1 stopień 20_21'!$K$9:$K$773,"CKZ Słupsk")</f>
        <v>0</v>
      </c>
      <c r="AB96" s="104">
        <f>SUMIFS('1 stopień 20_21'!$I$9:$I$773,'1 stopień 20_21'!$G$9:$G$773,D96,'1 stopień 20_21'!$K$9:$K$773,"Toyota")</f>
        <v>0</v>
      </c>
      <c r="AC96" s="104">
        <f>SUMIFS('1 stopień 20_21'!$I$9:$I$773,'1 stopień 20_21'!$G$9:$G$773,D96,'1 stopień 20_21'!$K$9:$K$773,"CKZ Wrocław")</f>
        <v>0</v>
      </c>
      <c r="AD96" s="104">
        <f>SUMIFS('1 stopień 20_21'!$I$9:$I$773,'1 stopień 20_21'!$G$9:$G$773,D96,'1 stopień 20_21'!$K$9:$K$773,"CKZ Opole")</f>
        <v>0</v>
      </c>
      <c r="AE96" s="104">
        <f>SUMIFS('1 stopień 20_21'!$I$9:$I$773,'1 stopień 20_21'!$G$9:$G$773,D96,'1 stopień 20_21'!$K$9:$K$773,"Chojnów")</f>
        <v>0</v>
      </c>
      <c r="AF96" s="104">
        <f>SUMIFS('1 stopień 20_21'!$I$9:$I$773,'1 stopień 20_21'!$G$9:$G$773,D96,'1 stopień 20_21'!$K$9:$K$773,"")</f>
        <v>0</v>
      </c>
      <c r="AG96" s="105">
        <f t="shared" si="2"/>
        <v>0</v>
      </c>
    </row>
    <row r="97" spans="2:33" ht="17.25" customHeight="1">
      <c r="B97" s="108" t="s">
        <v>654</v>
      </c>
      <c r="C97" s="109">
        <v>723318</v>
      </c>
      <c r="D97" s="109" t="s">
        <v>772</v>
      </c>
      <c r="E97" s="110" t="s">
        <v>771</v>
      </c>
      <c r="F97" s="103">
        <f>SUMIF('1 stopień 20_21'!G$9:G$773,D97,'1 stopień 20_21'!I$9:I$773)</f>
        <v>0</v>
      </c>
      <c r="G97" s="104">
        <f>SUMIFS('1 stopień 20_21'!$I$9:$I$773,'1 stopień 20_21'!$G$9:$G$773,D97,'1 stopień 20_21'!$K$9:$K$773,"CKZ Bielawa")</f>
        <v>0</v>
      </c>
      <c r="H97" s="104">
        <f>SUMIFS('1 stopień 20_21'!$I$9:$I$773,'1 stopień 20_21'!$G$9:$G$773,D97,'1 stopień 20_21'!$K$9:$K$773,"GCKZ Głogów")</f>
        <v>0</v>
      </c>
      <c r="I97" s="104">
        <f>SUMIFS('1 stopień 20_21'!$I$9:$I$773,'1 stopień 20_21'!$G$9:$G$773,D97,'1 stopień 20_21'!$K$9:$K$773,"CKZ Jawor")</f>
        <v>0</v>
      </c>
      <c r="J97" s="104">
        <f>SUMIFS('1 stopień 20_21'!$I$9:$I$773,'1 stopień 20_21'!$G$9:$G$773,D97,'1 stopień 20_21'!$K$9:$K$773,"JCKZ Jelenia Góra")</f>
        <v>0</v>
      </c>
      <c r="K97" s="104">
        <f>SUMIFS('1 stopień 20_21'!$I$9:$I$773,'1 stopień 20_21'!$G$9:$G$773,D97,'1 stopień 20_21'!$K$9:$K$773,"CKZ Kłodzko")</f>
        <v>0</v>
      </c>
      <c r="L97" s="104">
        <f>SUMIFS('1 stopień 20_21'!$I$9:$I$773,'1 stopień 20_21'!$G$9:$G$773,D97,'1 stopień 20_21'!$K$9:$K$773,"CKZ Legnica")</f>
        <v>0</v>
      </c>
      <c r="M97" s="104">
        <f>SUMIFS('1 stopień 20_21'!$I$9:$I$773,'1 stopień 20_21'!$G$9:$G$773,D97,'1 stopień 20_21'!$K$9:$K$773,"CKZ Oleśnica")</f>
        <v>0</v>
      </c>
      <c r="N97" s="104">
        <f>SUMIFS('1 stopień 20_21'!$I$9:$I$773,'1 stopień 20_21'!$G$9:$G$773,D97,'1 stopień 20_21'!$K$9:$K$773,"CKZ Świdnica")</f>
        <v>0</v>
      </c>
      <c r="O97" s="104">
        <f>SUMIFS('1 stopień 20_21'!$I$9:$I$773,'1 stopień 20_21'!$G$9:$G$773,D97,'1 stopień 20_21'!$K$9:$K$773,"CKZ Wołów")</f>
        <v>0</v>
      </c>
      <c r="P97" s="104">
        <f>SUMIFS('1 stopień 20_21'!$I$9:$I$773,'1 stopień 20_21'!$G$9:$G$773,D97,'1 stopień 20_21'!$K$9:$K$773,"CKZ Ziębice")</f>
        <v>0</v>
      </c>
      <c r="Q97" s="104">
        <f>SUMIFS('1 stopień 20_21'!$I$9:$I$773,'1 stopień 20_21'!$G$9:$G$773,D97,'1 stopień 20_21'!$K$9:$K$773,"CKZ Dobrodzień")</f>
        <v>0</v>
      </c>
      <c r="R97" s="104">
        <f>SUMIFS('1 stopień 20_21'!$I$9:$I$773,'1 stopień 20_21'!$G$9:$G$773,D97,'1 stopień 20_21'!$K$9:$K$773,"CKZ Głubczyce")</f>
        <v>0</v>
      </c>
      <c r="S97" s="104">
        <f>SUMIFS('1 stopień 20_21'!$I$9:$I$773,'1 stopień 20_21'!$G$9:$G$773,D97,'1 stopień 20_21'!$K$9:$K$773,"CKZ Kędzierzyn Kożle")</f>
        <v>0</v>
      </c>
      <c r="T97" s="104">
        <f>SUMIFS('1 stopień 20_21'!$I$9:$I$773,'1 stopień 20_21'!$G$9:$G$773,D97,'1 stopień 20_21'!$K$9:$K$773,"CKZ Kluczbork")</f>
        <v>0</v>
      </c>
      <c r="U97" s="104">
        <f>SUMIFS('1 stopień 20_21'!$I$9:$I$773,'1 stopień 20_21'!$G$9:$G$773,D97,'1 stopień 20_21'!$K$9:$K$773,"CKZ Krotoszyn")</f>
        <v>0</v>
      </c>
      <c r="V97" s="104">
        <f>SUMIFS('1 stopień 20_21'!$I$9:$I$773,'1 stopień 20_21'!$G$9:$G$773,D97,'1 stopień 20_21'!$K$9:$K$773,"CKZ Olkusz")</f>
        <v>0</v>
      </c>
      <c r="W97" s="104">
        <f>SUMIFS('1 stopień 20_21'!$I$9:$I$773,'1 stopień 20_21'!$G$9:$G$773,D97,'1 stopień 20_21'!$K$9:$K$773,"CKZ Wschowa")</f>
        <v>0</v>
      </c>
      <c r="X97" s="104">
        <f>SUMIFS('1 stopień 20_21'!$I$9:$I$773,'1 stopień 20_21'!$G$9:$G$773,D97,'1 stopień 20_21'!$K$9:$K$773,"CKZ Zielona Góra")</f>
        <v>0</v>
      </c>
      <c r="Y97" s="104">
        <f>SUMIFS('1 stopień 20_21'!$I$9:$I$773,'1 stopień 20_21'!$G$9:$G$773,D97,'1 stopień 20_21'!$K$9:$K$773,"Rzemieślnicza Wałbrzych")</f>
        <v>0</v>
      </c>
      <c r="Z97" s="104">
        <f>SUMIFS('1 stopień 20_21'!$I$9:$I$773,'1 stopień 20_21'!$G$9:$G$773,D97,'1 stopień 20_21'!$K$9:$K$773,"CKZ Mosina")</f>
        <v>0</v>
      </c>
      <c r="AA97" s="104">
        <f>SUMIFS('1 stopień 20_21'!$I$9:$I$773,'1 stopień 20_21'!$G$9:$G$773,D97,'1 stopień 20_21'!$K$9:$K$773,"CKZ Słupsk")</f>
        <v>0</v>
      </c>
      <c r="AB97" s="104">
        <f>SUMIFS('1 stopień 20_21'!$I$9:$I$773,'1 stopień 20_21'!$G$9:$G$773,D97,'1 stopień 20_21'!$K$9:$K$773,"Toyota")</f>
        <v>0</v>
      </c>
      <c r="AC97" s="104">
        <f>SUMIFS('1 stopień 20_21'!$I$9:$I$773,'1 stopień 20_21'!$G$9:$G$773,D97,'1 stopień 20_21'!$K$9:$K$773,"CKZ Wrocław")</f>
        <v>0</v>
      </c>
      <c r="AD97" s="104">
        <f>SUMIFS('1 stopień 20_21'!$I$9:$I$773,'1 stopień 20_21'!$G$9:$G$773,D97,'1 stopień 20_21'!$K$9:$K$773,"CKZ Opole")</f>
        <v>0</v>
      </c>
      <c r="AE97" s="104">
        <f>SUMIFS('1 stopień 20_21'!$I$9:$I$773,'1 stopień 20_21'!$G$9:$G$773,D97,'1 stopień 20_21'!$K$9:$K$773,"Chojnów")</f>
        <v>0</v>
      </c>
      <c r="AF97" s="104">
        <f>SUMIFS('1 stopień 20_21'!$I$9:$I$773,'1 stopień 20_21'!$G$9:$G$773,D97,'1 stopień 20_21'!$K$9:$K$773,"")</f>
        <v>0</v>
      </c>
      <c r="AG97" s="105">
        <f t="shared" si="2"/>
        <v>0</v>
      </c>
    </row>
    <row r="98" spans="2:33">
      <c r="B98" s="106" t="s">
        <v>655</v>
      </c>
      <c r="C98" s="107">
        <v>711701</v>
      </c>
      <c r="D98" s="107" t="s">
        <v>1401</v>
      </c>
      <c r="E98" s="106" t="s">
        <v>769</v>
      </c>
      <c r="F98" s="103">
        <f>SUMIF('1 stopień 20_21'!G$9:G$773,D98,'1 stopień 20_21'!I$9:I$773)</f>
        <v>0</v>
      </c>
      <c r="G98" s="104">
        <f>SUMIFS('1 stopień 20_21'!$I$9:$I$773,'1 stopień 20_21'!$G$9:$G$773,D98,'1 stopień 20_21'!$K$9:$K$773,"CKZ Bielawa")</f>
        <v>0</v>
      </c>
      <c r="H98" s="104">
        <f>SUMIFS('1 stopień 20_21'!$I$9:$I$773,'1 stopień 20_21'!$G$9:$G$773,D98,'1 stopień 20_21'!$K$9:$K$773,"GCKZ Głogów")</f>
        <v>0</v>
      </c>
      <c r="I98" s="104">
        <f>SUMIFS('1 stopień 20_21'!$I$9:$I$773,'1 stopień 20_21'!$G$9:$G$773,D98,'1 stopień 20_21'!$K$9:$K$773,"CKZ Jawor")</f>
        <v>0</v>
      </c>
      <c r="J98" s="104">
        <f>SUMIFS('1 stopień 20_21'!$I$9:$I$773,'1 stopień 20_21'!$G$9:$G$773,D98,'1 stopień 20_21'!$K$9:$K$773,"JCKZ Jelenia Góra")</f>
        <v>0</v>
      </c>
      <c r="K98" s="104">
        <f>SUMIFS('1 stopień 20_21'!$I$9:$I$773,'1 stopień 20_21'!$G$9:$G$773,D98,'1 stopień 20_21'!$K$9:$K$773,"CKZ Kłodzko")</f>
        <v>0</v>
      </c>
      <c r="L98" s="104">
        <f>SUMIFS('1 stopień 20_21'!$I$9:$I$773,'1 stopień 20_21'!$G$9:$G$773,D98,'1 stopień 20_21'!$K$9:$K$773,"CKZ Legnica")</f>
        <v>0</v>
      </c>
      <c r="M98" s="104">
        <f>SUMIFS('1 stopień 20_21'!$I$9:$I$773,'1 stopień 20_21'!$G$9:$G$773,D98,'1 stopień 20_21'!$K$9:$K$773,"CKZ Oleśnica")</f>
        <v>0</v>
      </c>
      <c r="N98" s="104">
        <f>SUMIFS('1 stopień 20_21'!$I$9:$I$773,'1 stopień 20_21'!$G$9:$G$773,D98,'1 stopień 20_21'!$K$9:$K$773,"CKZ Świdnica")</f>
        <v>0</v>
      </c>
      <c r="O98" s="104">
        <f>SUMIFS('1 stopień 20_21'!$I$9:$I$773,'1 stopień 20_21'!$G$9:$G$773,D98,'1 stopień 20_21'!$K$9:$K$773,"CKZ Wołów")</f>
        <v>0</v>
      </c>
      <c r="P98" s="104">
        <f>SUMIFS('1 stopień 20_21'!$I$9:$I$773,'1 stopień 20_21'!$G$9:$G$773,D98,'1 stopień 20_21'!$K$9:$K$773,"CKZ Ziębice")</f>
        <v>0</v>
      </c>
      <c r="Q98" s="104">
        <f>SUMIFS('1 stopień 20_21'!$I$9:$I$773,'1 stopień 20_21'!$G$9:$G$773,D98,'1 stopień 20_21'!$K$9:$K$773,"CKZ Dobrodzień")</f>
        <v>0</v>
      </c>
      <c r="R98" s="104">
        <f>SUMIFS('1 stopień 20_21'!$I$9:$I$773,'1 stopień 20_21'!$G$9:$G$773,D98,'1 stopień 20_21'!$K$9:$K$773,"CKZ Głubczyce")</f>
        <v>0</v>
      </c>
      <c r="S98" s="104">
        <f>SUMIFS('1 stopień 20_21'!$I$9:$I$773,'1 stopień 20_21'!$G$9:$G$773,D98,'1 stopień 20_21'!$K$9:$K$773,"CKZ Kędzierzyn Kożle")</f>
        <v>0</v>
      </c>
      <c r="T98" s="104">
        <f>SUMIFS('1 stopień 20_21'!$I$9:$I$773,'1 stopień 20_21'!$G$9:$G$773,D98,'1 stopień 20_21'!$K$9:$K$773,"CKZ Kluczbork")</f>
        <v>0</v>
      </c>
      <c r="U98" s="104">
        <f>SUMIFS('1 stopień 20_21'!$I$9:$I$773,'1 stopień 20_21'!$G$9:$G$773,D98,'1 stopień 20_21'!$K$9:$K$773,"CKZ Krotoszyn")</f>
        <v>0</v>
      </c>
      <c r="V98" s="104">
        <f>SUMIFS('1 stopień 20_21'!$I$9:$I$773,'1 stopień 20_21'!$G$9:$G$773,D98,'1 stopień 20_21'!$K$9:$K$773,"CKZ Olkusz")</f>
        <v>0</v>
      </c>
      <c r="W98" s="104">
        <f>SUMIFS('1 stopień 20_21'!$I$9:$I$773,'1 stopień 20_21'!$G$9:$G$773,D98,'1 stopień 20_21'!$K$9:$K$773,"CKZ Wschowa")</f>
        <v>0</v>
      </c>
      <c r="X98" s="104">
        <f>SUMIFS('1 stopień 20_21'!$I$9:$I$773,'1 stopień 20_21'!$G$9:$G$773,D98,'1 stopień 20_21'!$K$9:$K$773,"CKZ Zielona Góra")</f>
        <v>0</v>
      </c>
      <c r="Y98" s="104">
        <f>SUMIFS('1 stopień 20_21'!$I$9:$I$773,'1 stopień 20_21'!$G$9:$G$773,D98,'1 stopień 20_21'!$K$9:$K$773,"Rzemieślnicza Wałbrzych")</f>
        <v>0</v>
      </c>
      <c r="Z98" s="104">
        <f>SUMIFS('1 stopień 20_21'!$I$9:$I$773,'1 stopień 20_21'!$G$9:$G$773,D98,'1 stopień 20_21'!$K$9:$K$773,"CKZ Mosina")</f>
        <v>0</v>
      </c>
      <c r="AA98" s="104">
        <f>SUMIFS('1 stopień 20_21'!$I$9:$I$773,'1 stopień 20_21'!$G$9:$G$773,D98,'1 stopień 20_21'!$K$9:$K$773,"CKZ Słupsk")</f>
        <v>0</v>
      </c>
      <c r="AB98" s="104">
        <f>SUMIFS('1 stopień 20_21'!$I$9:$I$773,'1 stopień 20_21'!$G$9:$G$773,D98,'1 stopień 20_21'!$K$9:$K$773,"Toyota")</f>
        <v>0</v>
      </c>
      <c r="AC98" s="104">
        <f>SUMIFS('1 stopień 20_21'!$I$9:$I$773,'1 stopień 20_21'!$G$9:$G$773,D98,'1 stopień 20_21'!$K$9:$K$773,"CKZ Wrocław")</f>
        <v>0</v>
      </c>
      <c r="AD98" s="104">
        <f>SUMIFS('1 stopień 20_21'!$I$9:$I$773,'1 stopień 20_21'!$G$9:$G$773,D98,'1 stopień 20_21'!$K$9:$K$773,"CKZ Opole")</f>
        <v>0</v>
      </c>
      <c r="AE98" s="104">
        <f>SUMIFS('1 stopień 20_21'!$I$9:$I$773,'1 stopień 20_21'!$G$9:$G$773,D98,'1 stopień 20_21'!$K$9:$K$773,"Chojnów")</f>
        <v>0</v>
      </c>
      <c r="AF98" s="104">
        <f>SUMIFS('1 stopień 20_21'!$I$9:$I$773,'1 stopień 20_21'!$G$9:$G$773,D98,'1 stopień 20_21'!$K$9:$K$773,"")</f>
        <v>0</v>
      </c>
      <c r="AG98" s="105">
        <f t="shared" si="2"/>
        <v>0</v>
      </c>
    </row>
    <row r="99" spans="2:33">
      <c r="B99" s="106" t="s">
        <v>656</v>
      </c>
      <c r="C99" s="107">
        <v>711505</v>
      </c>
      <c r="D99" s="107" t="s">
        <v>1402</v>
      </c>
      <c r="E99" s="106" t="s">
        <v>767</v>
      </c>
      <c r="F99" s="103">
        <f>SUMIF('1 stopień 20_21'!G$9:G$773,D99,'1 stopień 20_21'!I$9:I$773)</f>
        <v>0</v>
      </c>
      <c r="G99" s="104">
        <f>SUMIFS('1 stopień 20_21'!$I$9:$I$773,'1 stopień 20_21'!$G$9:$G$773,D99,'1 stopień 20_21'!$K$9:$K$773,"CKZ Bielawa")</f>
        <v>0</v>
      </c>
      <c r="H99" s="104">
        <f>SUMIFS('1 stopień 20_21'!$I$9:$I$773,'1 stopień 20_21'!$G$9:$G$773,D99,'1 stopień 20_21'!$K$9:$K$773,"GCKZ Głogów")</f>
        <v>0</v>
      </c>
      <c r="I99" s="104">
        <f>SUMIFS('1 stopień 20_21'!$I$9:$I$773,'1 stopień 20_21'!$G$9:$G$773,D99,'1 stopień 20_21'!$K$9:$K$773,"CKZ Jawor")</f>
        <v>0</v>
      </c>
      <c r="J99" s="104">
        <f>SUMIFS('1 stopień 20_21'!$I$9:$I$773,'1 stopień 20_21'!$G$9:$G$773,D99,'1 stopień 20_21'!$K$9:$K$773,"JCKZ Jelenia Góra")</f>
        <v>0</v>
      </c>
      <c r="K99" s="104">
        <f>SUMIFS('1 stopień 20_21'!$I$9:$I$773,'1 stopień 20_21'!$G$9:$G$773,D99,'1 stopień 20_21'!$K$9:$K$773,"CKZ Kłodzko")</f>
        <v>0</v>
      </c>
      <c r="L99" s="104">
        <f>SUMIFS('1 stopień 20_21'!$I$9:$I$773,'1 stopień 20_21'!$G$9:$G$773,D99,'1 stopień 20_21'!$K$9:$K$773,"CKZ Legnica")</f>
        <v>0</v>
      </c>
      <c r="M99" s="104">
        <f>SUMIFS('1 stopień 20_21'!$I$9:$I$773,'1 stopień 20_21'!$G$9:$G$773,D99,'1 stopień 20_21'!$K$9:$K$773,"CKZ Oleśnica")</f>
        <v>0</v>
      </c>
      <c r="N99" s="104">
        <f>SUMIFS('1 stopień 20_21'!$I$9:$I$773,'1 stopień 20_21'!$G$9:$G$773,D99,'1 stopień 20_21'!$K$9:$K$773,"CKZ Świdnica")</f>
        <v>0</v>
      </c>
      <c r="O99" s="104">
        <f>SUMIFS('1 stopień 20_21'!$I$9:$I$773,'1 stopień 20_21'!$G$9:$G$773,D99,'1 stopień 20_21'!$K$9:$K$773,"CKZ Wołów")</f>
        <v>0</v>
      </c>
      <c r="P99" s="104">
        <f>SUMIFS('1 stopień 20_21'!$I$9:$I$773,'1 stopień 20_21'!$G$9:$G$773,D99,'1 stopień 20_21'!$K$9:$K$773,"CKZ Ziębice")</f>
        <v>0</v>
      </c>
      <c r="Q99" s="104">
        <f>SUMIFS('1 stopień 20_21'!$I$9:$I$773,'1 stopień 20_21'!$G$9:$G$773,D99,'1 stopień 20_21'!$K$9:$K$773,"CKZ Dobrodzień")</f>
        <v>0</v>
      </c>
      <c r="R99" s="104">
        <f>SUMIFS('1 stopień 20_21'!$I$9:$I$773,'1 stopień 20_21'!$G$9:$G$773,D99,'1 stopień 20_21'!$K$9:$K$773,"CKZ Głubczyce")</f>
        <v>0</v>
      </c>
      <c r="S99" s="104">
        <f>SUMIFS('1 stopień 20_21'!$I$9:$I$773,'1 stopień 20_21'!$G$9:$G$773,D99,'1 stopień 20_21'!$K$9:$K$773,"CKZ Kędzierzyn Kożle")</f>
        <v>0</v>
      </c>
      <c r="T99" s="104">
        <f>SUMIFS('1 stopień 20_21'!$I$9:$I$773,'1 stopień 20_21'!$G$9:$G$773,D99,'1 stopień 20_21'!$K$9:$K$773,"CKZ Kluczbork")</f>
        <v>0</v>
      </c>
      <c r="U99" s="104">
        <f>SUMIFS('1 stopień 20_21'!$I$9:$I$773,'1 stopień 20_21'!$G$9:$G$773,D99,'1 stopień 20_21'!$K$9:$K$773,"CKZ Krotoszyn")</f>
        <v>0</v>
      </c>
      <c r="V99" s="104">
        <f>SUMIFS('1 stopień 20_21'!$I$9:$I$773,'1 stopień 20_21'!$G$9:$G$773,D99,'1 stopień 20_21'!$K$9:$K$773,"CKZ Olkusz")</f>
        <v>0</v>
      </c>
      <c r="W99" s="104">
        <f>SUMIFS('1 stopień 20_21'!$I$9:$I$773,'1 stopień 20_21'!$G$9:$G$773,D99,'1 stopień 20_21'!$K$9:$K$773,"CKZ Wschowa")</f>
        <v>0</v>
      </c>
      <c r="X99" s="104">
        <f>SUMIFS('1 stopień 20_21'!$I$9:$I$773,'1 stopień 20_21'!$G$9:$G$773,D99,'1 stopień 20_21'!$K$9:$K$773,"CKZ Zielona Góra")</f>
        <v>0</v>
      </c>
      <c r="Y99" s="104">
        <f>SUMIFS('1 stopień 20_21'!$I$9:$I$773,'1 stopień 20_21'!$G$9:$G$773,D99,'1 stopień 20_21'!$K$9:$K$773,"Rzemieślnicza Wałbrzych")</f>
        <v>0</v>
      </c>
      <c r="Z99" s="104">
        <f>SUMIFS('1 stopień 20_21'!$I$9:$I$773,'1 stopień 20_21'!$G$9:$G$773,D99,'1 stopień 20_21'!$K$9:$K$773,"CKZ Mosina")</f>
        <v>0</v>
      </c>
      <c r="AA99" s="104">
        <f>SUMIFS('1 stopień 20_21'!$I$9:$I$773,'1 stopień 20_21'!$G$9:$G$773,D99,'1 stopień 20_21'!$K$9:$K$773,"CKZ Słupsk")</f>
        <v>0</v>
      </c>
      <c r="AB99" s="104">
        <f>SUMIFS('1 stopień 20_21'!$I$9:$I$773,'1 stopień 20_21'!$G$9:$G$773,D99,'1 stopień 20_21'!$K$9:$K$773,"Toyota")</f>
        <v>0</v>
      </c>
      <c r="AC99" s="104">
        <f>SUMIFS('1 stopień 20_21'!$I$9:$I$773,'1 stopień 20_21'!$G$9:$G$773,D99,'1 stopień 20_21'!$K$9:$K$773,"CKZ Wrocław")</f>
        <v>0</v>
      </c>
      <c r="AD99" s="104">
        <f>SUMIFS('1 stopień 20_21'!$I$9:$I$773,'1 stopień 20_21'!$G$9:$G$773,D99,'1 stopień 20_21'!$K$9:$K$773,"CKZ Opole")</f>
        <v>0</v>
      </c>
      <c r="AE99" s="104">
        <f>SUMIFS('1 stopień 20_21'!$I$9:$I$773,'1 stopień 20_21'!$G$9:$G$773,D99,'1 stopień 20_21'!$K$9:$K$773,"Chojnów")</f>
        <v>0</v>
      </c>
      <c r="AF99" s="104">
        <f>SUMIFS('1 stopień 20_21'!$I$9:$I$773,'1 stopień 20_21'!$G$9:$G$773,D99,'1 stopień 20_21'!$K$9:$K$773,"")</f>
        <v>0</v>
      </c>
      <c r="AG99" s="105">
        <f t="shared" si="2"/>
        <v>0</v>
      </c>
    </row>
    <row r="100" spans="2:33">
      <c r="B100" s="106" t="s">
        <v>657</v>
      </c>
      <c r="C100" s="107">
        <v>721406</v>
      </c>
      <c r="D100" s="107" t="s">
        <v>1403</v>
      </c>
      <c r="E100" s="106" t="s">
        <v>765</v>
      </c>
      <c r="F100" s="103">
        <f>SUMIF('1 stopień 20_21'!G$9:G$773,D100,'1 stopień 20_21'!I$9:I$773)</f>
        <v>0</v>
      </c>
      <c r="G100" s="104">
        <f>SUMIFS('1 stopień 20_21'!$I$9:$I$773,'1 stopień 20_21'!$G$9:$G$773,D100,'1 stopień 20_21'!$K$9:$K$773,"CKZ Bielawa")</f>
        <v>0</v>
      </c>
      <c r="H100" s="104">
        <f>SUMIFS('1 stopień 20_21'!$I$9:$I$773,'1 stopień 20_21'!$G$9:$G$773,D100,'1 stopień 20_21'!$K$9:$K$773,"GCKZ Głogów")</f>
        <v>0</v>
      </c>
      <c r="I100" s="104">
        <f>SUMIFS('1 stopień 20_21'!$I$9:$I$773,'1 stopień 20_21'!$G$9:$G$773,D100,'1 stopień 20_21'!$K$9:$K$773,"CKZ Jawor")</f>
        <v>0</v>
      </c>
      <c r="J100" s="104">
        <f>SUMIFS('1 stopień 20_21'!$I$9:$I$773,'1 stopień 20_21'!$G$9:$G$773,D100,'1 stopień 20_21'!$K$9:$K$773,"JCKZ Jelenia Góra")</f>
        <v>0</v>
      </c>
      <c r="K100" s="104">
        <f>SUMIFS('1 stopień 20_21'!$I$9:$I$773,'1 stopień 20_21'!$G$9:$G$773,D100,'1 stopień 20_21'!$K$9:$K$773,"CKZ Kłodzko")</f>
        <v>0</v>
      </c>
      <c r="L100" s="104">
        <f>SUMIFS('1 stopień 20_21'!$I$9:$I$773,'1 stopień 20_21'!$G$9:$G$773,D100,'1 stopień 20_21'!$K$9:$K$773,"CKZ Legnica")</f>
        <v>0</v>
      </c>
      <c r="M100" s="104">
        <f>SUMIFS('1 stopień 20_21'!$I$9:$I$773,'1 stopień 20_21'!$G$9:$G$773,D100,'1 stopień 20_21'!$K$9:$K$773,"CKZ Oleśnica")</f>
        <v>0</v>
      </c>
      <c r="N100" s="104">
        <f>SUMIFS('1 stopień 20_21'!$I$9:$I$773,'1 stopień 20_21'!$G$9:$G$773,D100,'1 stopień 20_21'!$K$9:$K$773,"CKZ Świdnica")</f>
        <v>0</v>
      </c>
      <c r="O100" s="104">
        <f>SUMIFS('1 stopień 20_21'!$I$9:$I$773,'1 stopień 20_21'!$G$9:$G$773,D100,'1 stopień 20_21'!$K$9:$K$773,"CKZ Wołów")</f>
        <v>0</v>
      </c>
      <c r="P100" s="104">
        <f>SUMIFS('1 stopień 20_21'!$I$9:$I$773,'1 stopień 20_21'!$G$9:$G$773,D100,'1 stopień 20_21'!$K$9:$K$773,"CKZ Ziębice")</f>
        <v>0</v>
      </c>
      <c r="Q100" s="104">
        <f>SUMIFS('1 stopień 20_21'!$I$9:$I$773,'1 stopień 20_21'!$G$9:$G$773,D100,'1 stopień 20_21'!$K$9:$K$773,"CKZ Dobrodzień")</f>
        <v>0</v>
      </c>
      <c r="R100" s="104">
        <f>SUMIFS('1 stopień 20_21'!$I$9:$I$773,'1 stopień 20_21'!$G$9:$G$773,D100,'1 stopień 20_21'!$K$9:$K$773,"CKZ Głubczyce")</f>
        <v>0</v>
      </c>
      <c r="S100" s="104">
        <f>SUMIFS('1 stopień 20_21'!$I$9:$I$773,'1 stopień 20_21'!$G$9:$G$773,D100,'1 stopień 20_21'!$K$9:$K$773,"CKZ Kędzierzyn Kożle")</f>
        <v>0</v>
      </c>
      <c r="T100" s="104">
        <f>SUMIFS('1 stopień 20_21'!$I$9:$I$773,'1 stopień 20_21'!$G$9:$G$773,D100,'1 stopień 20_21'!$K$9:$K$773,"CKZ Kluczbork")</f>
        <v>0</v>
      </c>
      <c r="U100" s="104">
        <f>SUMIFS('1 stopień 20_21'!$I$9:$I$773,'1 stopień 20_21'!$G$9:$G$773,D100,'1 stopień 20_21'!$K$9:$K$773,"CKZ Krotoszyn")</f>
        <v>0</v>
      </c>
      <c r="V100" s="104">
        <f>SUMIFS('1 stopień 20_21'!$I$9:$I$773,'1 stopień 20_21'!$G$9:$G$773,D100,'1 stopień 20_21'!$K$9:$K$773,"CKZ Olkusz")</f>
        <v>0</v>
      </c>
      <c r="W100" s="104">
        <f>SUMIFS('1 stopień 20_21'!$I$9:$I$773,'1 stopień 20_21'!$G$9:$G$773,D100,'1 stopień 20_21'!$K$9:$K$773,"CKZ Wschowa")</f>
        <v>0</v>
      </c>
      <c r="X100" s="104">
        <f>SUMIFS('1 stopień 20_21'!$I$9:$I$773,'1 stopień 20_21'!$G$9:$G$773,D100,'1 stopień 20_21'!$K$9:$K$773,"CKZ Zielona Góra")</f>
        <v>0</v>
      </c>
      <c r="Y100" s="104">
        <f>SUMIFS('1 stopień 20_21'!$I$9:$I$773,'1 stopień 20_21'!$G$9:$G$773,D100,'1 stopień 20_21'!$K$9:$K$773,"Rzemieślnicza Wałbrzych")</f>
        <v>0</v>
      </c>
      <c r="Z100" s="104">
        <f>SUMIFS('1 stopień 20_21'!$I$9:$I$773,'1 stopień 20_21'!$G$9:$G$773,D100,'1 stopień 20_21'!$K$9:$K$773,"CKZ Mosina")</f>
        <v>0</v>
      </c>
      <c r="AA100" s="104">
        <f>SUMIFS('1 stopień 20_21'!$I$9:$I$773,'1 stopień 20_21'!$G$9:$G$773,D100,'1 stopień 20_21'!$K$9:$K$773,"CKZ Słupsk")</f>
        <v>0</v>
      </c>
      <c r="AB100" s="104">
        <f>SUMIFS('1 stopień 20_21'!$I$9:$I$773,'1 stopień 20_21'!$G$9:$G$773,D100,'1 stopień 20_21'!$K$9:$K$773,"Toyota")</f>
        <v>0</v>
      </c>
      <c r="AC100" s="104">
        <f>SUMIFS('1 stopień 20_21'!$I$9:$I$773,'1 stopień 20_21'!$G$9:$G$773,D100,'1 stopień 20_21'!$K$9:$K$773,"CKZ Wrocław")</f>
        <v>0</v>
      </c>
      <c r="AD100" s="104">
        <f>SUMIFS('1 stopień 20_21'!$I$9:$I$773,'1 stopień 20_21'!$G$9:$G$773,D100,'1 stopień 20_21'!$K$9:$K$773,"CKZ Opole")</f>
        <v>0</v>
      </c>
      <c r="AE100" s="104">
        <f>SUMIFS('1 stopień 20_21'!$I$9:$I$773,'1 stopień 20_21'!$G$9:$G$773,D100,'1 stopień 20_21'!$K$9:$K$773,"Chojnów")</f>
        <v>0</v>
      </c>
      <c r="AF100" s="104">
        <f>SUMIFS('1 stopień 20_21'!$I$9:$I$773,'1 stopień 20_21'!$G$9:$G$773,D100,'1 stopień 20_21'!$K$9:$K$773,"")</f>
        <v>0</v>
      </c>
      <c r="AG100" s="105">
        <f t="shared" si="2"/>
        <v>0</v>
      </c>
    </row>
    <row r="101" spans="2:33">
      <c r="AG101" s="69">
        <f>SUM(AG6:AG100)</f>
        <v>2270</v>
      </c>
    </row>
    <row r="102" spans="2:33">
      <c r="G102" s="3">
        <f>SUM(G6:G100)</f>
        <v>61</v>
      </c>
      <c r="H102" s="3">
        <f t="shared" ref="H102:AF102" si="3">SUM(H6:H100)</f>
        <v>46</v>
      </c>
      <c r="I102" s="3">
        <f t="shared" si="3"/>
        <v>0</v>
      </c>
      <c r="J102" s="3">
        <f t="shared" si="3"/>
        <v>145</v>
      </c>
      <c r="K102" s="3">
        <f t="shared" si="3"/>
        <v>127</v>
      </c>
      <c r="L102" s="3">
        <f t="shared" si="3"/>
        <v>370</v>
      </c>
      <c r="M102" s="3">
        <f t="shared" si="3"/>
        <v>340</v>
      </c>
      <c r="N102" s="3">
        <f t="shared" si="3"/>
        <v>628</v>
      </c>
      <c r="O102" s="3">
        <f t="shared" si="3"/>
        <v>131</v>
      </c>
      <c r="P102" s="3">
        <f t="shared" si="3"/>
        <v>66</v>
      </c>
      <c r="Q102" s="3">
        <f t="shared" si="3"/>
        <v>5</v>
      </c>
      <c r="R102" s="3">
        <f t="shared" si="3"/>
        <v>0</v>
      </c>
      <c r="S102" s="3">
        <f t="shared" si="3"/>
        <v>0</v>
      </c>
      <c r="T102" s="3">
        <f t="shared" si="3"/>
        <v>0</v>
      </c>
      <c r="U102" s="3">
        <f t="shared" si="3"/>
        <v>5</v>
      </c>
      <c r="V102" s="3">
        <f t="shared" si="3"/>
        <v>0</v>
      </c>
      <c r="W102" s="3">
        <f t="shared" si="3"/>
        <v>101</v>
      </c>
      <c r="X102" s="3">
        <f t="shared" si="3"/>
        <v>79</v>
      </c>
      <c r="Y102" s="3">
        <f t="shared" si="3"/>
        <v>39</v>
      </c>
      <c r="Z102" s="3">
        <f t="shared" si="3"/>
        <v>1</v>
      </c>
      <c r="AA102" s="3">
        <f t="shared" si="3"/>
        <v>0</v>
      </c>
      <c r="AB102" s="3">
        <f t="shared" ref="AB102:AE102" si="4">SUM(AB6:AB100)</f>
        <v>24</v>
      </c>
      <c r="AC102" s="3">
        <f t="shared" si="4"/>
        <v>83</v>
      </c>
      <c r="AD102" s="3">
        <f t="shared" si="4"/>
        <v>10</v>
      </c>
      <c r="AE102" s="3">
        <f t="shared" si="4"/>
        <v>9</v>
      </c>
      <c r="AF102" s="3">
        <f t="shared" si="3"/>
        <v>0</v>
      </c>
    </row>
    <row r="103" spans="2:33" ht="99.75" customHeight="1">
      <c r="G103" s="123" t="s">
        <v>192</v>
      </c>
      <c r="H103" s="124" t="s">
        <v>528</v>
      </c>
      <c r="I103" s="124" t="s">
        <v>253</v>
      </c>
      <c r="J103" s="124" t="s">
        <v>260</v>
      </c>
      <c r="K103" s="124" t="s">
        <v>530</v>
      </c>
      <c r="L103" s="124" t="s">
        <v>252</v>
      </c>
      <c r="M103" s="124" t="s">
        <v>532</v>
      </c>
      <c r="N103" s="124" t="s">
        <v>256</v>
      </c>
      <c r="O103" s="124" t="s">
        <v>235</v>
      </c>
      <c r="P103" s="124" t="s">
        <v>49</v>
      </c>
      <c r="Q103" s="125" t="s">
        <v>663</v>
      </c>
      <c r="R103" s="125" t="s">
        <v>667</v>
      </c>
      <c r="S103" s="125" t="s">
        <v>668</v>
      </c>
      <c r="T103" s="125" t="s">
        <v>664</v>
      </c>
      <c r="U103" s="125" t="s">
        <v>665</v>
      </c>
      <c r="V103" s="125" t="s">
        <v>666</v>
      </c>
      <c r="W103" s="125" t="s">
        <v>254</v>
      </c>
      <c r="X103" s="125" t="s">
        <v>662</v>
      </c>
      <c r="Y103" s="77" t="s">
        <v>937</v>
      </c>
      <c r="Z103" s="77" t="s">
        <v>940</v>
      </c>
      <c r="AA103" s="77" t="s">
        <v>1156</v>
      </c>
      <c r="AB103" s="77" t="s">
        <v>1371</v>
      </c>
      <c r="AC103" s="77" t="s">
        <v>51</v>
      </c>
      <c r="AD103" s="77" t="s">
        <v>1513</v>
      </c>
      <c r="AE103" s="77" t="s">
        <v>275</v>
      </c>
      <c r="AF103" s="77" t="s">
        <v>848</v>
      </c>
    </row>
    <row r="105" spans="2:33" ht="15.75" customHeight="1"/>
    <row r="107" spans="2:33" ht="15.75" customHeight="1"/>
    <row r="109" spans="2:33" ht="15.75" customHeight="1"/>
  </sheetData>
  <autoFilter ref="A5:AG103"/>
  <mergeCells count="3">
    <mergeCell ref="B3:B4"/>
    <mergeCell ref="C3:C4"/>
    <mergeCell ref="G3:AF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topLeftCell="B1" zoomScale="90" zoomScaleNormal="90" workbookViewId="0">
      <selection activeCell="AD25" sqref="AD25"/>
    </sheetView>
  </sheetViews>
  <sheetFormatPr defaultColWidth="9.140625" defaultRowHeight="15"/>
  <cols>
    <col min="1" max="1" width="9.140625" style="69"/>
    <col min="2" max="2" width="45.7109375" style="69" customWidth="1"/>
    <col min="3" max="4" width="8.140625" style="70" customWidth="1"/>
    <col min="5" max="5" width="78.5703125" style="69" customWidth="1"/>
    <col min="6" max="6" width="11" style="69" customWidth="1"/>
    <col min="7" max="7" width="5.42578125" style="69" customWidth="1"/>
    <col min="8" max="8" width="6.42578125" style="69" customWidth="1"/>
    <col min="9" max="9" width="5.42578125" style="69" customWidth="1"/>
    <col min="10" max="10" width="6.140625" style="69" customWidth="1"/>
    <col min="11" max="11" width="5.5703125" style="69" customWidth="1"/>
    <col min="12" max="12" width="5" style="69" customWidth="1"/>
    <col min="13" max="13" width="4.42578125" style="69" customWidth="1"/>
    <col min="14" max="14" width="4.85546875" style="69" customWidth="1"/>
    <col min="15" max="15" width="4.42578125" style="69" customWidth="1"/>
    <col min="16" max="16" width="5.42578125" style="69" customWidth="1"/>
    <col min="17" max="17" width="6" style="69" customWidth="1"/>
    <col min="18" max="18" width="6.140625" style="69" customWidth="1"/>
    <col min="19" max="19" width="4.28515625" style="69" customWidth="1"/>
    <col min="20" max="20" width="5.42578125" style="69" customWidth="1"/>
    <col min="21" max="21" width="4.42578125" style="69" customWidth="1"/>
    <col min="22" max="22" width="4.7109375" style="69" customWidth="1"/>
    <col min="23" max="23" width="5.42578125" style="69" customWidth="1"/>
    <col min="24" max="24" width="7" style="69" customWidth="1"/>
    <col min="25" max="30" width="4.140625" style="69" customWidth="1"/>
    <col min="31" max="32" width="9.140625" style="69" customWidth="1"/>
    <col min="33" max="16384" width="9.140625" style="69"/>
  </cols>
  <sheetData>
    <row r="1" spans="1:32">
      <c r="A1" s="85"/>
      <c r="B1" s="84">
        <f ca="1">NOW()</f>
        <v>44169.164513310185</v>
      </c>
    </row>
    <row r="3" spans="1:32">
      <c r="B3" s="434" t="s">
        <v>591</v>
      </c>
      <c r="C3" s="435" t="s">
        <v>658</v>
      </c>
      <c r="D3" s="74"/>
      <c r="E3" s="71" t="s">
        <v>659</v>
      </c>
      <c r="F3" s="78" t="s">
        <v>661</v>
      </c>
      <c r="G3" s="436" t="s">
        <v>660</v>
      </c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8"/>
      <c r="AF3" s="69">
        <f>SUM(G6:AE100)</f>
        <v>2924</v>
      </c>
    </row>
    <row r="4" spans="1:32" ht="15" customHeight="1">
      <c r="B4" s="434"/>
      <c r="C4" s="435"/>
      <c r="D4" s="74"/>
      <c r="E4" s="72"/>
      <c r="F4" s="75"/>
      <c r="G4" s="79"/>
      <c r="H4" s="80"/>
      <c r="I4" s="80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112"/>
      <c r="Z4" s="112"/>
      <c r="AA4" s="112"/>
      <c r="AB4" s="112"/>
      <c r="AC4" s="112"/>
      <c r="AD4" s="112"/>
    </row>
    <row r="5" spans="1:32" ht="90.75" customHeight="1">
      <c r="B5" s="73">
        <v>1</v>
      </c>
      <c r="C5" s="73">
        <v>2</v>
      </c>
      <c r="D5" s="73"/>
      <c r="E5" s="73">
        <v>9</v>
      </c>
      <c r="F5" s="76">
        <f>SUM(F6:F716)</f>
        <v>2924</v>
      </c>
      <c r="G5" s="123" t="s">
        <v>192</v>
      </c>
      <c r="H5" s="124" t="s">
        <v>528</v>
      </c>
      <c r="I5" s="124" t="s">
        <v>253</v>
      </c>
      <c r="J5" s="124" t="s">
        <v>260</v>
      </c>
      <c r="K5" s="124" t="s">
        <v>530</v>
      </c>
      <c r="L5" s="124" t="s">
        <v>252</v>
      </c>
      <c r="M5" s="124" t="s">
        <v>532</v>
      </c>
      <c r="N5" s="124" t="s">
        <v>256</v>
      </c>
      <c r="O5" s="124" t="s">
        <v>235</v>
      </c>
      <c r="P5" s="124" t="s">
        <v>49</v>
      </c>
      <c r="Q5" s="125" t="s">
        <v>663</v>
      </c>
      <c r="R5" s="125" t="s">
        <v>667</v>
      </c>
      <c r="S5" s="125" t="s">
        <v>668</v>
      </c>
      <c r="T5" s="125" t="s">
        <v>664</v>
      </c>
      <c r="U5" s="125" t="s">
        <v>665</v>
      </c>
      <c r="V5" s="125" t="s">
        <v>666</v>
      </c>
      <c r="W5" s="125" t="s">
        <v>254</v>
      </c>
      <c r="X5" s="125" t="s">
        <v>662</v>
      </c>
      <c r="Y5" s="77" t="s">
        <v>937</v>
      </c>
      <c r="Z5" s="77" t="s">
        <v>940</v>
      </c>
      <c r="AA5" s="77" t="s">
        <v>1156</v>
      </c>
      <c r="AB5" s="77" t="s">
        <v>1513</v>
      </c>
      <c r="AC5" s="77" t="s">
        <v>51</v>
      </c>
      <c r="AD5" s="77" t="s">
        <v>549</v>
      </c>
      <c r="AE5" s="77" t="s">
        <v>848</v>
      </c>
    </row>
    <row r="6" spans="1:32">
      <c r="B6" s="106" t="s">
        <v>84</v>
      </c>
      <c r="C6" s="107">
        <v>343101</v>
      </c>
      <c r="D6" s="107" t="s">
        <v>65</v>
      </c>
      <c r="E6" s="106" t="s">
        <v>669</v>
      </c>
      <c r="F6" s="103">
        <f>SUMIF('2 stopień 20_21'!G$9:G$761,"AUD.02.",'2 stopień 20_21'!I$9:I$761)</f>
        <v>14</v>
      </c>
      <c r="G6" s="104">
        <f>SUMIFS('2 stopień 20_21'!$I$9:$I$761,'2 stopień 20_21'!$G$9:$G$761,"AUD.02.",'2 stopień 20_21'!$K$9:$K$761,"CKZ Bielawa")</f>
        <v>0</v>
      </c>
      <c r="H6" s="104">
        <f>SUMIFS('2 stopień 20_21'!$I$9:$I$761,'2 stopień 20_21'!$G$9:$G$761,"AUD.02.",'2 stopień 20_21'!$K$9:$K$761,"GCKZ Głogów")</f>
        <v>0</v>
      </c>
      <c r="I6" s="104">
        <f>SUMIFS('2 stopień 20_21'!$I$9:$I$761,'2 stopień 20_21'!$G$9:$G$761,"AUD.02.",'2 stopień 20_21'!$K$9:$K$761,"CKZ Jawor")</f>
        <v>0</v>
      </c>
      <c r="J6" s="104">
        <f>SUMIFS('2 stopień 20_21'!$I$9:$I$761,'2 stopień 20_21'!$G$9:$G$761,"AUD.02.",'2 stopień 20_21'!$K$9:$K$761,"JCKZ Jelenia Góra")</f>
        <v>0</v>
      </c>
      <c r="K6" s="104">
        <f>SUMIFS('2 stopień 20_21'!$I$9:$I$761,'2 stopień 20_21'!$G$9:$G$761,"AUD.02.",'2 stopień 20_21'!$K$9:$K$761,"CKZ Kłodzko")</f>
        <v>0</v>
      </c>
      <c r="L6" s="104">
        <f>SUMIFS('2 stopień 20_21'!$I$9:$I$761,'2 stopień 20_21'!$G$9:$G$761,"AUD.02.",'2 stopień 20_21'!$K$9:$K$761,"CKZ Legnica")</f>
        <v>0</v>
      </c>
      <c r="M6" s="104">
        <f>SUMIFS('2 stopień 20_21'!$I$9:$I$761,'2 stopień 20_21'!$G$9:$G$761,"AUD.02.",'2 stopień 20_21'!$K$9:$K$761,"CKZ Oleśnica")</f>
        <v>0</v>
      </c>
      <c r="N6" s="104">
        <f>SUMIFS('2 stopień 20_21'!$I$9:$I$761,'2 stopień 20_21'!$G$9:$G$761,"AUD.02.",'2 stopień 20_21'!$K$9:$K$761,"CKZ Świdnica")</f>
        <v>0</v>
      </c>
      <c r="O6" s="104">
        <f>SUMIFS('2 stopień 20_21'!$I$9:$I$761,'2 stopień 20_21'!$G$9:$G$761,"AUD.02.",'2 stopień 20_21'!$K$9:$K$761,"CKZ Wołów")</f>
        <v>0</v>
      </c>
      <c r="P6" s="104">
        <f>SUMIFS('2 stopień 20_21'!$I$9:$I$761,'2 stopień 20_21'!$G$9:$G$761,"AUD.02.",'2 stopień 20_21'!$K$9:$K$761,"CKZ Ziębice")</f>
        <v>0</v>
      </c>
      <c r="Q6" s="104">
        <f>SUMIFS('2 stopień 20_21'!$I$9:$I$761,'2 stopień 20_21'!$G$9:$G$761,"AUD.02.",'2 stopień 20_21'!$K$9:$K$761,"CKZ Dobrodzień")</f>
        <v>0</v>
      </c>
      <c r="R6" s="104">
        <f>SUMIFS('2 stopień 20_21'!$I$9:$I$761,'2 stopień 20_21'!$G$9:$G$761,"AUD.02.",'2 stopień 20_21'!$K$9:$K$761,"CKZ Głubczyce")</f>
        <v>0</v>
      </c>
      <c r="S6" s="104">
        <f>SUMIFS('2 stopień 20_21'!$I$9:$I$761,'2 stopień 20_21'!$G$9:$G$761,"AUD.02.",'2 stopień 20_21'!$K$9:$K$761,"CKZ Kędzierzyn Koźle")</f>
        <v>0</v>
      </c>
      <c r="T6" s="104">
        <f>SUMIFS('2 stopień 20_21'!$I$9:$I$761,'2 stopień 20_21'!$G$9:$G$761,"AUD.02.",'2 stopień 20_21'!$K$9:$K$761,"CKZ Kluczbork")</f>
        <v>0</v>
      </c>
      <c r="U6" s="104">
        <f>SUMIFS('2 stopień 20_21'!$I$9:$I$761,'2 stopień 20_21'!$G$9:$G$761,"AUD.02.",'2 stopień 20_21'!$K$9:$K$761,"CKZ Krotoszyn")</f>
        <v>0</v>
      </c>
      <c r="V6" s="104">
        <f>SUMIFS('2 stopień 20_21'!$I$9:$I$761,'2 stopień 20_21'!$G$9:$G$761,"AUD.02.",'2 stopień 20_21'!$K$9:$K$761,"CKZ Olkusz")</f>
        <v>2</v>
      </c>
      <c r="W6" s="104">
        <f>SUMIFS('2 stopień 20_21'!$I$9:$I$761,'2 stopień 20_21'!$G$9:$G$761,"AUD.02.",'2 stopień 20_21'!$K$9:$K$761,"CKZ Wschowa")</f>
        <v>0</v>
      </c>
      <c r="X6" s="104">
        <f>SUMIFS('2 stopień 20_21'!$I$9:$I$761,'2 stopień 20_21'!$G$9:$G$761,"AUD.02.",'2 stopień 20_21'!$K$9:$K$761,"CKZ Zielona Góra")</f>
        <v>9</v>
      </c>
      <c r="Y6" s="104">
        <f>SUMIFS('2 stopień 20_21'!$I$9:$I$761,'2 stopień 20_21'!$G$9:$G$761,"AUD.02.",'2 stopień 20_21'!$K$9:$K$761,"Rzemieślnicza Wałbrzych")</f>
        <v>0</v>
      </c>
      <c r="Z6" s="104">
        <f>SUMIFS('2 stopień 20_21'!$I$9:$I$761,'2 stopień 20_21'!$G$9:$G$761,"AUD.02.",'2 stopień 20_21'!$K$9:$K$761,"CKZ Mosina")</f>
        <v>0</v>
      </c>
      <c r="AA6" s="104">
        <f>SUMIFS('2 stopień 20_21'!$I$9:$I$761,'2 stopień 20_21'!$G$9:$G$761,"AUD.02.",'2 stopień 20_21'!$K$9:$K$761,"CKZ Słupsk")</f>
        <v>0</v>
      </c>
      <c r="AB6" s="104">
        <f>SUMIFS('2 stopień 20_21'!$I$9:$I$761,'2 stopień 20_21'!$G$9:$G$761,"AUD.02.",'2 stopień 20_21'!$K$9:$K$761,"CKZ Opole")</f>
        <v>0</v>
      </c>
      <c r="AC6" s="104">
        <f>SUMIFS('2 stopień 20_21'!$I$9:$I$761,'2 stopień 20_21'!$G$9:$G$761,"AUD.02.",'2 stopień 20_21'!$K$9:$K$761,"CKZ Wrocław")</f>
        <v>3</v>
      </c>
      <c r="AD6" s="104">
        <f>SUMIFS('2 stopień 20_21'!$I$9:$I$761,'2 stopień 20_21'!$G$9:$G$761,"AUD.02.",'2 stopień 20_21'!$K$9:$K$761,"Brzeg Dolny")</f>
        <v>0</v>
      </c>
      <c r="AE6" s="104">
        <f>SUMIFS('2 stopień 20_21'!$I$9:$I$761,'2 stopień 20_21'!$G$9:$G$761,"AUD.02.",'2 stopień 20_21'!$K$9:$K$761,"")</f>
        <v>0</v>
      </c>
      <c r="AF6" s="105">
        <f>SUM(G6:AE6)</f>
        <v>14</v>
      </c>
    </row>
    <row r="7" spans="1:32">
      <c r="B7" s="106" t="s">
        <v>592</v>
      </c>
      <c r="C7" s="107">
        <v>711402</v>
      </c>
      <c r="D7" s="107" t="s">
        <v>671</v>
      </c>
      <c r="E7" s="106" t="s">
        <v>670</v>
      </c>
      <c r="F7" s="103">
        <f>SUMIF('2 stopień 20_21'!G$9:G$761,"BUD.01.",'2 stopień 20_21'!I$9:I$761)</f>
        <v>11</v>
      </c>
      <c r="G7" s="104">
        <f>SUMIFS('2 stopień 20_21'!$I$9:$I$761,'2 stopień 20_21'!$G$9:$G$761,"BUD.01.",'2 stopień 20_21'!$K$9:$K$761,"CKZ Bielawa")</f>
        <v>0</v>
      </c>
      <c r="H7" s="104">
        <f>SUMIFS('2 stopień 20_21'!$I$9:$I$761,'2 stopień 20_21'!$G$9:$G$761,"BUD.01.",'2 stopień 20_21'!$K$9:$K$761,"GCKZ Głogów")</f>
        <v>0</v>
      </c>
      <c r="I7" s="104">
        <f>SUMIFS('2 stopień 20_21'!$I$9:$I$761,'2 stopień 20_21'!$G$9:$G$761,"BUD.01.",'2 stopień 20_21'!$K$9:$K$761,"CKZ Jawor")</f>
        <v>0</v>
      </c>
      <c r="J7" s="104">
        <f>SUMIFS('2 stopień 20_21'!$I$9:$I$761,'2 stopień 20_21'!$G$9:$G$761,"BUD.01.",'2 stopień 20_21'!$K$9:$K$761,"JCKZ Jelenia Góra")</f>
        <v>0</v>
      </c>
      <c r="K7" s="104">
        <f>SUMIFS('2 stopień 20_21'!$I$9:$I$761,'2 stopień 20_21'!$G$9:$G$761,"BUD.01.",'2 stopień 20_21'!$K$9:$K$761,"CKZ Kłodzko")</f>
        <v>0</v>
      </c>
      <c r="L7" s="104">
        <f>SUMIFS('2 stopień 20_21'!$I$9:$I$761,'2 stopień 20_21'!$G$9:$G$761,"BUD.01.",'2 stopień 20_21'!$K$9:$K$761,"CKZ Legnica")</f>
        <v>0</v>
      </c>
      <c r="M7" s="104">
        <f>SUMIFS('2 stopień 20_21'!$I$9:$I$761,'2 stopień 20_21'!$G$9:$G$761,"BUD.01.",'2 stopień 20_21'!$K$9:$K$761,"CKZ Oleśnica")</f>
        <v>0</v>
      </c>
      <c r="N7" s="104">
        <f>SUMIFS('2 stopień 20_21'!$I$9:$I$761,'2 stopień 20_21'!$G$9:$G$761,"BUD.01.",'2 stopień 20_21'!$K$9:$K$761,"CKZ Świdnica")</f>
        <v>11</v>
      </c>
      <c r="O7" s="104">
        <f>SUMIFS('2 stopień 20_21'!$I$9:$I$761,'2 stopień 20_21'!$G$9:$G$761,"BUD.01.",'2 stopień 20_21'!$K$9:$K$761,"CKZ Wołów")</f>
        <v>0</v>
      </c>
      <c r="P7" s="104">
        <f>SUMIFS('2 stopień 20_21'!$I$9:$I$761,'2 stopień 20_21'!$G$9:$G$761,"BUD.01.",'2 stopień 20_21'!$K$9:$K$761,"CKZ Ziębice")</f>
        <v>0</v>
      </c>
      <c r="Q7" s="104">
        <f>SUMIFS('2 stopień 20_21'!$I$9:$I$761,'2 stopień 20_21'!$G$9:$G$761,"BUD.01.",'2 stopień 20_21'!$K$9:$K$761,"CKZ Dobrodzień")</f>
        <v>0</v>
      </c>
      <c r="R7" s="104">
        <f>SUMIFS('2 stopień 20_21'!$I$9:$I$761,'2 stopień 20_21'!$G$9:$G$761,"BUD.01.",'2 stopień 20_21'!$K$9:$K$761,"CKZ Głubczyce")</f>
        <v>0</v>
      </c>
      <c r="S7" s="104">
        <f>SUMIFS('2 stopień 20_21'!$I$9:$I$761,'2 stopień 20_21'!$G$9:$G$761,"BUD.01.",'2 stopień 20_21'!$K$9:$K$761,"CKZ Kędzierzyn Koźle")</f>
        <v>0</v>
      </c>
      <c r="T7" s="104">
        <f>SUMIFS('2 stopień 20_21'!$I$9:$I$761,'2 stopień 20_21'!$G$9:$G$761,"BUD.01.",'2 stopień 20_21'!$K$9:$K$761,"CKZ Kluczbork")</f>
        <v>0</v>
      </c>
      <c r="U7" s="104">
        <f>SUMIFS('2 stopień 20_21'!$I$9:$I$761,'2 stopień 20_21'!$G$9:$G$761,"BUD.01.",'2 stopień 20_21'!$K$9:$K$761,"CKZ Krotoszyn")</f>
        <v>0</v>
      </c>
      <c r="V7" s="104">
        <f>SUMIFS('2 stopień 20_21'!$I$9:$I$761,'2 stopień 20_21'!$G$9:$G$761,"BUD.01.",'2 stopień 20_21'!$K$9:$K$761,"CKZ Olkusz")</f>
        <v>0</v>
      </c>
      <c r="W7" s="104">
        <f>SUMIFS('2 stopień 20_21'!$I$9:$I$761,'2 stopień 20_21'!$G$9:$G$761,"BUD.01.",'2 stopień 20_21'!$K$9:$K$761,"CKZ Wschowa")</f>
        <v>0</v>
      </c>
      <c r="X7" s="104">
        <f>SUMIFS('2 stopień 20_21'!$I$9:$I$761,'2 stopień 20_21'!$G$9:$G$761,"BUD.01.",'2 stopień 20_21'!$K$9:$K$761,"CKZ Zielona Góra")</f>
        <v>0</v>
      </c>
      <c r="Y7" s="104">
        <f>SUMIFS('2 stopień 20_21'!$I$9:$I$761,'2 stopień 20_21'!$G$9:$G$761,"BUD.01.",'2 stopień 20_21'!$K$9:$K$761,"Rzemieślnicza Wałbrzych")</f>
        <v>0</v>
      </c>
      <c r="Z7" s="104">
        <f>SUMIFS('2 stopień 20_21'!$I$9:$I$761,'2 stopień 20_21'!$G$9:$G$761,"BUD.01.",'2 stopień 20_21'!$K$9:$K$761,"CKZ Mosina")</f>
        <v>0</v>
      </c>
      <c r="AA7" s="104">
        <f>SUMIFS('2 stopień 20_21'!$I$9:$I$761,'2 stopień 20_21'!$G$9:$G$761,"BUD.01.",'2 stopień 20_21'!$K$9:$K$761,"CKZ Słupsk")</f>
        <v>0</v>
      </c>
      <c r="AB7" s="104">
        <f>SUMIFS('2 stopień 20_21'!$I$9:$I$761,'2 stopień 20_21'!$G$9:$G$761,"BUD.01.",'2 stopień 20_21'!$K$9:$K$761,"CKZ Opole")</f>
        <v>0</v>
      </c>
      <c r="AC7" s="104">
        <f>SUMIFS('2 stopień 20_21'!$I$9:$I$761,'2 stopień 20_21'!$G$9:$G$761,"BUD.01.",'2 stopień 20_21'!$K$9:$K$761,"CKZ Wrocław")</f>
        <v>0</v>
      </c>
      <c r="AD7" s="104">
        <f>SUMIFS('2 stopień 20_21'!$I$9:$I$761,'2 stopień 20_21'!$G$9:$G$761,"BUD.01.",'2 stopień 20_21'!$K$9:$K$761,"Brzeg Dolny")</f>
        <v>0</v>
      </c>
      <c r="AE7" s="104">
        <f>SUMIFS('2 stopień 20_21'!$I$9:$I$761,'2 stopień 20_21'!$G$9:$G$761,"BUD.01.",'2 stopień 20_21'!$K$9:$K$761,"")</f>
        <v>0</v>
      </c>
      <c r="AF7" s="105">
        <f t="shared" ref="AF7:AF70" si="0">SUM(G7:AE7)</f>
        <v>11</v>
      </c>
    </row>
    <row r="8" spans="1:32">
      <c r="B8" s="106" t="s">
        <v>593</v>
      </c>
      <c r="C8" s="107">
        <v>711501</v>
      </c>
      <c r="D8" s="107" t="s">
        <v>673</v>
      </c>
      <c r="E8" s="106" t="s">
        <v>672</v>
      </c>
      <c r="F8" s="103">
        <f>SUMIF('2 stopień 20_21'!G$9:G$761,"BUD.02.",'2 stopień 20_21'!I$9:I$761)</f>
        <v>0</v>
      </c>
      <c r="G8" s="104">
        <f>SUMIFS('2 stopień 20_21'!$I$9:$I$761,'2 stopień 20_21'!$G$9:$G$761,"BUD.02.",'2 stopień 20_21'!$K$9:$K$761,"CKZ Bielawa")</f>
        <v>0</v>
      </c>
      <c r="H8" s="104">
        <f>SUMIFS('2 stopień 20_21'!$I$9:$I$761,'2 stopień 20_21'!$G$9:$G$761,"BUD.02.",'2 stopień 20_21'!$K$9:$K$761,"GCKZ Głogów")</f>
        <v>0</v>
      </c>
      <c r="I8" s="104">
        <f>SUMIFS('2 stopień 20_21'!$I$9:$I$761,'2 stopień 20_21'!$G$9:$G$761,"BUD.02.",'2 stopień 20_21'!$K$9:$K$761,"CKZ Jawor")</f>
        <v>0</v>
      </c>
      <c r="J8" s="104">
        <f>SUMIFS('2 stopień 20_21'!$I$9:$I$761,'2 stopień 20_21'!$G$9:$G$761,"BUD.02.",'2 stopień 20_21'!$K$9:$K$761,"JCKZ Jelenia Góra")</f>
        <v>0</v>
      </c>
      <c r="K8" s="104">
        <f>SUMIFS('2 stopień 20_21'!$I$9:$I$761,'2 stopień 20_21'!$G$9:$G$761,"BUD.02.",'2 stopień 20_21'!$K$9:$K$761,"CKZ Kłodzko")</f>
        <v>0</v>
      </c>
      <c r="L8" s="104">
        <f>SUMIFS('2 stopień 20_21'!$I$9:$I$761,'2 stopień 20_21'!$G$9:$G$761,"BUD.02.",'2 stopień 20_21'!$K$9:$K$761,"CKZ Legnica")</f>
        <v>0</v>
      </c>
      <c r="M8" s="104">
        <f>SUMIFS('2 stopień 20_21'!$I$9:$I$761,'2 stopień 20_21'!$G$9:$G$761,"BUD.02.",'2 stopień 20_21'!$K$9:$K$761,"CKZ Oleśnica")</f>
        <v>0</v>
      </c>
      <c r="N8" s="104">
        <f>SUMIFS('2 stopień 20_21'!$I$9:$I$761,'2 stopień 20_21'!$G$9:$G$761,"BUD.02.",'2 stopień 20_21'!$K$9:$K$761,"CKZ Świdnica")</f>
        <v>0</v>
      </c>
      <c r="O8" s="104">
        <f>SUMIFS('2 stopień 20_21'!$I$9:$I$761,'2 stopień 20_21'!$G$9:$G$761,"BUD.02.",'2 stopień 20_21'!$K$9:$K$761,"CKZ Wołów")</f>
        <v>0</v>
      </c>
      <c r="P8" s="104">
        <f>SUMIFS('2 stopień 20_21'!$I$9:$I$761,'2 stopień 20_21'!$G$9:$G$761,"BUD.02.",'2 stopień 20_21'!$K$9:$K$761,"CKZ Ziębice")</f>
        <v>0</v>
      </c>
      <c r="Q8" s="104">
        <f>SUMIFS('2 stopień 20_21'!$I$9:$I$761,'2 stopień 20_21'!$G$9:$G$761,"BUD.02.",'2 stopień 20_21'!$K$9:$K$761,"CKZ Dobrodzień")</f>
        <v>0</v>
      </c>
      <c r="R8" s="104">
        <f>SUMIFS('2 stopień 20_21'!$I$9:$I$761,'2 stopień 20_21'!$G$9:$G$761,"BUD.02.",'2 stopień 20_21'!$K$9:$K$761,"CKZ Głubczyce")</f>
        <v>0</v>
      </c>
      <c r="S8" s="104">
        <f>SUMIFS('2 stopień 20_21'!$I$9:$I$761,'2 stopień 20_21'!$G$9:$G$761,"BUD.02.",'2 stopień 20_21'!$K$9:$K$761,"CKZ Kędzierzyn Koźle")</f>
        <v>0</v>
      </c>
      <c r="T8" s="104">
        <f>SUMIFS('2 stopień 20_21'!$I$9:$I$761,'2 stopień 20_21'!$G$9:$G$761,"BUD.02.",'2 stopień 20_21'!$K$9:$K$761,"CKZ Kluczbork")</f>
        <v>0</v>
      </c>
      <c r="U8" s="104">
        <f>SUMIFS('2 stopień 20_21'!$I$9:$I$761,'2 stopień 20_21'!$G$9:$G$761,"BUD.02.",'2 stopień 20_21'!$K$9:$K$761,"CKZ Krotoszyn")</f>
        <v>0</v>
      </c>
      <c r="V8" s="104">
        <f>SUMIFS('2 stopień 20_21'!$I$9:$I$761,'2 stopień 20_21'!$G$9:$G$761,"BUD.02.",'2 stopień 20_21'!$K$9:$K$761,"CKZ Olkusz")</f>
        <v>0</v>
      </c>
      <c r="W8" s="104">
        <f>SUMIFS('2 stopień 20_21'!$I$9:$I$761,'2 stopień 20_21'!$G$9:$G$761,"BUD.02.",'2 stopień 20_21'!$K$9:$K$761,"CKZ Wschowa")</f>
        <v>0</v>
      </c>
      <c r="X8" s="104">
        <f>SUMIFS('2 stopień 20_21'!$I$9:$I$761,'2 stopień 20_21'!$G$9:$G$761,"BUD.02.",'2 stopień 20_21'!$K$9:$K$761,"CKZ Zielona Góra")</f>
        <v>0</v>
      </c>
      <c r="Y8" s="104">
        <f>SUMIFS('2 stopień 20_21'!$I$9:$I$761,'2 stopień 20_21'!$G$9:$G$761,"BUD.02.",'2 stopień 20_21'!$K$9:$K$761,"Rzemieślnicza Wałbrzych")</f>
        <v>0</v>
      </c>
      <c r="Z8" s="104">
        <f>SUMIFS('2 stopień 20_21'!$I$9:$I$761,'2 stopień 20_21'!$G$9:$G$761,"BUD.02.",'2 stopień 20_21'!$K$9:$K$761,"CKZ Mosina")</f>
        <v>0</v>
      </c>
      <c r="AA8" s="104">
        <f>SUMIFS('2 stopień 20_21'!$I$9:$I$761,'2 stopień 20_21'!$G$9:$G$761,"BUD.02.",'2 stopień 20_21'!$K$9:$K$761,"CKZ Słupsk")</f>
        <v>0</v>
      </c>
      <c r="AB8" s="104">
        <f>SUMIFS('2 stopień 20_21'!$I$9:$I$761,'2 stopień 20_21'!$G$9:$G$761,"BUD.02.",'2 stopień 20_21'!$K$9:$K$761,"CKZ Opole")</f>
        <v>0</v>
      </c>
      <c r="AC8" s="104">
        <f>SUMIFS('2 stopień 20_21'!$I$9:$I$761,'2 stopień 20_21'!$G$9:$G$761,"BUD.02.",'2 stopień 20_21'!$K$9:$K$761,"CKZ Wrocław")</f>
        <v>0</v>
      </c>
      <c r="AD8" s="104">
        <f>SUMIFS('2 stopień 20_21'!$I$9:$I$761,'2 stopień 20_21'!$G$9:$G$761,"BUD.02.",'2 stopień 20_21'!$K$9:$K$761,"Brzeg Dolny")</f>
        <v>0</v>
      </c>
      <c r="AE8" s="104">
        <f>SUMIFS('2 stopień 20_21'!$I$9:$I$761,'2 stopień 20_21'!$G$9:$G$761,"AUD.02.",'2 stopień 20_21'!$K$9:$K$761,"")</f>
        <v>0</v>
      </c>
      <c r="AF8" s="105">
        <f t="shared" si="0"/>
        <v>0</v>
      </c>
    </row>
    <row r="9" spans="1:32">
      <c r="B9" s="106" t="s">
        <v>594</v>
      </c>
      <c r="C9" s="107">
        <v>712101</v>
      </c>
      <c r="D9" s="107" t="s">
        <v>675</v>
      </c>
      <c r="E9" s="106" t="s">
        <v>674</v>
      </c>
      <c r="F9" s="103">
        <f>SUMIF('2 stopień 20_21'!G$9:G$761,"BUD.03.",'2 stopień 20_21'!I$9:I$761)</f>
        <v>7</v>
      </c>
      <c r="G9" s="104">
        <f>SUMIFS('2 stopień 20_21'!$I$9:$I$761,'2 stopień 20_21'!$G$9:$G$761,"BUD.03.",'2 stopień 20_21'!$K$9:$K$761,"CKZ Bielawa")</f>
        <v>0</v>
      </c>
      <c r="H9" s="104">
        <f>SUMIFS('2 stopień 20_21'!$I$9:$I$761,'2 stopień 20_21'!$G$9:$G$761,"BUD.03.",'2 stopień 20_21'!$K$9:$K$761,"GCKZ Głogów")</f>
        <v>0</v>
      </c>
      <c r="I9" s="104">
        <f>SUMIFS('2 stopień 20_21'!$I$9:$I$761,'2 stopień 20_21'!$G$9:$G$761,"BUD.03.",'2 stopień 20_21'!$K$9:$K$761,"CKZ Jawor")</f>
        <v>0</v>
      </c>
      <c r="J9" s="104">
        <f>SUMIFS('2 stopień 20_21'!$I$9:$I$761,'2 stopień 20_21'!$G$9:$G$761,"BUD.03.",'2 stopień 20_21'!$K$9:$K$761,"JCKZ Jelenia Góra")</f>
        <v>0</v>
      </c>
      <c r="K9" s="104">
        <f>SUMIFS('2 stopień 20_21'!$I$9:$I$761,'2 stopień 20_21'!$G$9:$G$761,"BUD.03.",'2 stopień 20_21'!$K$9:$K$761,"CKZ Kłodzko")</f>
        <v>0</v>
      </c>
      <c r="L9" s="104">
        <f>SUMIFS('2 stopień 20_21'!$I$9:$I$761,'2 stopień 20_21'!$G$9:$G$761,"BUD.03.",'2 stopień 20_21'!$K$9:$K$761,"CKZ Legnica")</f>
        <v>0</v>
      </c>
      <c r="M9" s="104">
        <f>SUMIFS('2 stopień 20_21'!$I$9:$I$761,'2 stopień 20_21'!$G$9:$G$761,"BUD.03.",'2 stopień 20_21'!$K$9:$K$761,"CKZ Oleśnica")</f>
        <v>0</v>
      </c>
      <c r="N9" s="104">
        <f>SUMIFS('2 stopień 20_21'!$I$9:$I$761,'2 stopień 20_21'!$G$9:$G$761,"BUD.03.",'2 stopień 20_21'!$K$9:$K$761,"CKZ Świdnica")</f>
        <v>0</v>
      </c>
      <c r="O9" s="104">
        <f>SUMIFS('2 stopień 20_21'!$I$9:$I$761,'2 stopień 20_21'!$G$9:$G$761,"BUD.03.",'2 stopień 20_21'!$K$9:$K$761,"CKZ Wołów")</f>
        <v>0</v>
      </c>
      <c r="P9" s="104">
        <f>SUMIFS('2 stopień 20_21'!$I$9:$I$761,'2 stopień 20_21'!$G$9:$G$761,"BUD.03.",'2 stopień 20_21'!$K$9:$K$761,"CKZ Ziębice")</f>
        <v>0</v>
      </c>
      <c r="Q9" s="104">
        <f>SUMIFS('2 stopień 20_21'!$I$9:$I$761,'2 stopień 20_21'!$G$9:$G$761,"BUD.03.",'2 stopień 20_21'!$K$9:$K$761,"CKZ Dobrodzień")</f>
        <v>0</v>
      </c>
      <c r="R9" s="104">
        <f>SUMIFS('2 stopień 20_21'!$I$9:$I$761,'2 stopień 20_21'!$G$9:$G$761,"BUD.03.",'2 stopień 20_21'!$K$9:$K$761,"CKZ Głubczyce")</f>
        <v>0</v>
      </c>
      <c r="S9" s="104">
        <f>SUMIFS('2 stopień 20_21'!$I$9:$I$761,'2 stopień 20_21'!$G$9:$G$761,"BUD.03.",'2 stopień 20_21'!$K$9:$K$761,"CKZ Kędzierzyn Koźle")</f>
        <v>0</v>
      </c>
      <c r="T9" s="104">
        <f>SUMIFS('2 stopień 20_21'!$I$9:$I$761,'2 stopień 20_21'!$G$9:$G$761,"BUD.03.",'2 stopień 20_21'!$K$9:$K$761,"CKZ Kluczbork")</f>
        <v>0</v>
      </c>
      <c r="U9" s="104">
        <f>SUMIFS('2 stopień 20_21'!$I$9:$I$761,'2 stopień 20_21'!$G$9:$G$761,"BUD.03.",'2 stopień 20_21'!$K$9:$K$761,"CKZ Krotoszyn")</f>
        <v>0</v>
      </c>
      <c r="V9" s="104">
        <f>SUMIFS('2 stopień 20_21'!$I$9:$I$761,'2 stopień 20_21'!$G$9:$G$761,"BUD.03.",'2 stopień 20_21'!$K$9:$K$761,"CKZ Olkusz")</f>
        <v>0</v>
      </c>
      <c r="W9" s="104">
        <f>SUMIFS('2 stopień 20_21'!$I$9:$I$761,'2 stopień 20_21'!$G$9:$G$761,"BUD.03.",'2 stopień 20_21'!$K$9:$K$761,"CKZ Wschowa")</f>
        <v>0</v>
      </c>
      <c r="X9" s="104">
        <f>SUMIFS('2 stopień 20_21'!$I$9:$I$761,'2 stopień 20_21'!$G$9:$G$761,"BUD.03.",'2 stopień 20_21'!$K$9:$K$761,"CKZ Zielona Góra")</f>
        <v>3</v>
      </c>
      <c r="Y9" s="104">
        <f>SUMIFS('2 stopień 20_21'!$I$9:$I$761,'2 stopień 20_21'!$G$9:$G$761,"BUD.03.",'2 stopień 20_21'!$K$9:$K$761,"Rzemieślnicza Wałbrzych")</f>
        <v>0</v>
      </c>
      <c r="Z9" s="104">
        <f>SUMIFS('2 stopień 20_21'!$I$9:$I$761,'2 stopień 20_21'!$G$9:$G$761,"BUD.03.",'2 stopień 20_21'!$K$9:$K$761,"CKZ Mosina")</f>
        <v>0</v>
      </c>
      <c r="AA9" s="104">
        <f>SUMIFS('2 stopień 20_21'!$I$9:$I$761,'2 stopień 20_21'!$G$9:$G$761,"BUD.03.",'2 stopień 20_21'!$K$9:$K$761,"CKZ Słupsk")</f>
        <v>0</v>
      </c>
      <c r="AB9" s="104">
        <f>SUMIFS('2 stopień 20_21'!$I$9:$I$761,'2 stopień 20_21'!$G$9:$G$761,"BUD.03.",'2 stopień 20_21'!$K$9:$K$761,"CKZ Opole")</f>
        <v>0</v>
      </c>
      <c r="AC9" s="104">
        <f>SUMIFS('2 stopień 20_21'!$I$9:$I$761,'2 stopień 20_21'!$G$9:$G$761,"BUD.03.",'2 stopień 20_21'!$K$9:$K$761,"CKZ Wrocław")</f>
        <v>4</v>
      </c>
      <c r="AD9" s="104">
        <f>SUMIFS('2 stopień 20_21'!$I$9:$I$761,'2 stopień 20_21'!$G$9:$G$761,"BUD.03.",'2 stopień 20_21'!$K$9:$K$761,"Brzeg Dolny")</f>
        <v>0</v>
      </c>
      <c r="AE9" s="104">
        <f>SUMIFS('2 stopień 20_21'!$I$9:$I$761,'2 stopień 20_21'!$G$9:$G$761,"BUD.03.",'2 stopień 20_21'!$K$9:$K$761,"")</f>
        <v>0</v>
      </c>
      <c r="AF9" s="105">
        <f t="shared" si="0"/>
        <v>7</v>
      </c>
    </row>
    <row r="10" spans="1:32">
      <c r="B10" s="106" t="s">
        <v>595</v>
      </c>
      <c r="C10" s="107">
        <v>711301</v>
      </c>
      <c r="D10" s="107" t="s">
        <v>537</v>
      </c>
      <c r="E10" s="106" t="s">
        <v>676</v>
      </c>
      <c r="F10" s="103">
        <f>SUMIF('2 stopień 20_21'!G$9:G$761,"BUD.04.",'2 stopień 20_21'!I$9:I$761)</f>
        <v>2</v>
      </c>
      <c r="G10" s="104">
        <f>SUMIFS('2 stopień 20_21'!$I$9:$I$761,'2 stopień 20_21'!$G$9:$G$761,"BUD.04.",'2 stopień 20_21'!$K$9:$K$761,"CKZ Bielawa")</f>
        <v>0</v>
      </c>
      <c r="H10" s="104">
        <f>SUMIFS('2 stopień 20_21'!$I$9:$I$761,'2 stopień 20_21'!$G$9:$G$761,"BUD.04.",'2 stopień 20_21'!$K$9:$K$761,"GCKZ Głogów")</f>
        <v>0</v>
      </c>
      <c r="I10" s="104">
        <f>SUMIFS('2 stopień 20_21'!$I$9:$I$761,'2 stopień 20_21'!$G$9:$G$761,"BUD.04.",'2 stopień 20_21'!$K$9:$K$761,"CKZ Jawor")</f>
        <v>0</v>
      </c>
      <c r="J10" s="104">
        <f>SUMIFS('2 stopień 20_21'!$I$9:$I$761,'2 stopień 20_21'!$G$9:$G$761,"BUD.04.",'2 stopień 20_21'!$K$9:$K$761,"JCKZ Jelenia Góra")</f>
        <v>0</v>
      </c>
      <c r="K10" s="104">
        <f>SUMIFS('2 stopień 20_21'!$I$9:$I$761,'2 stopień 20_21'!$G$9:$G$761,"BUD.04.",'2 stopień 20_21'!$K$9:$K$761,"CKZ Kłodzko")</f>
        <v>0</v>
      </c>
      <c r="L10" s="104">
        <f>SUMIFS('2 stopień 20_21'!$I$9:$I$761,'2 stopień 20_21'!$G$9:$G$761,"BUD.04.",'2 stopień 20_21'!$K$9:$K$761,"CKZ Legnica")</f>
        <v>0</v>
      </c>
      <c r="M10" s="104">
        <f>SUMIFS('2 stopień 20_21'!$I$9:$I$761,'2 stopień 20_21'!$G$9:$G$761,"BUD.04.",'2 stopień 20_21'!$K$9:$K$761,"CKZ Oleśnica")</f>
        <v>0</v>
      </c>
      <c r="N10" s="104">
        <f>SUMIFS('2 stopień 20_21'!$I$9:$I$761,'2 stopień 20_21'!$G$9:$G$761,"BUD.04.",'2 stopień 20_21'!$K$9:$K$761,"CKZ Świdnica")</f>
        <v>0</v>
      </c>
      <c r="O10" s="104">
        <f>SUMIFS('2 stopień 20_21'!$I$9:$I$761,'2 stopień 20_21'!$G$9:$G$761,"BUD.04.",'2 stopień 20_21'!$K$9:$K$761,"CKZ Wołów")</f>
        <v>0</v>
      </c>
      <c r="P10" s="104">
        <f>SUMIFS('2 stopień 20_21'!$I$9:$I$761,'2 stopień 20_21'!$G$9:$G$761,"BUD.04.",'2 stopień 20_21'!$K$9:$K$761,"CKZ Ziębice")</f>
        <v>0</v>
      </c>
      <c r="Q10" s="104">
        <f>SUMIFS('2 stopień 20_21'!$I$9:$I$761,'2 stopień 20_21'!$G$9:$G$761,"BUD.04.",'2 stopień 20_21'!$K$9:$K$761,"CKZ Dobrodzień")</f>
        <v>0</v>
      </c>
      <c r="R10" s="104">
        <f>SUMIFS('2 stopień 20_21'!$I$9:$I$761,'2 stopień 20_21'!$G$9:$G$761,"BUD.04.",'2 stopień 20_21'!$K$9:$K$761,"CKZ Głubczyce")</f>
        <v>0</v>
      </c>
      <c r="S10" s="104">
        <f>SUMIFS('2 stopień 20_21'!$I$9:$I$761,'2 stopień 20_21'!$G$9:$G$761,"BUD.04.",'2 stopień 20_21'!$K$9:$K$761,"CKZ Kędzierzyn Koźle")</f>
        <v>0</v>
      </c>
      <c r="T10" s="104">
        <f>SUMIFS('2 stopień 20_21'!$I$9:$I$761,'2 stopień 20_21'!$G$9:$G$761,"BUD.04.",'2 stopień 20_21'!$K$9:$K$761,"CKZ Kluczbork")</f>
        <v>0</v>
      </c>
      <c r="U10" s="104">
        <f>SUMIFS('2 stopień 20_21'!$I$9:$I$761,'2 stopień 20_21'!$G$9:$G$761,"BUD.04.",'2 stopień 20_21'!$K$9:$K$761,"CKZ Krotoszyn")</f>
        <v>0</v>
      </c>
      <c r="V10" s="104">
        <f>SUMIFS('2 stopień 20_21'!$I$9:$I$761,'2 stopień 20_21'!$G$9:$G$761,"BUD.04.",'2 stopień 20_21'!$K$9:$K$761,"CKZ Olkusz")</f>
        <v>0</v>
      </c>
      <c r="W10" s="104">
        <f>SUMIFS('2 stopień 20_21'!$I$9:$I$761,'2 stopień 20_21'!$G$9:$G$761,"BUD.04.",'2 stopień 20_21'!$K$9:$K$761,"CKZ Wschowa")</f>
        <v>0</v>
      </c>
      <c r="X10" s="104">
        <f>SUMIFS('2 stopień 20_21'!$I$9:$I$761,'2 stopień 20_21'!$G$9:$G$761,"BUD.04.",'2 stopień 20_21'!$K$9:$K$761,"CKZ Zielona Góra")</f>
        <v>2</v>
      </c>
      <c r="Y10" s="104">
        <f>SUMIFS('2 stopień 20_21'!$I$9:$I$761,'2 stopień 20_21'!$G$9:$G$761,"BUD.04.",'2 stopień 20_21'!$K$9:$K$761,"Rzemieślnicza Wałbrzych")</f>
        <v>0</v>
      </c>
      <c r="Z10" s="104">
        <f>SUMIFS('2 stopień 20_21'!$I$9:$I$761,'2 stopień 20_21'!$G$9:$G$761,"BUD.04.",'2 stopień 20_21'!$K$9:$K$761,"CKZ Mosina")</f>
        <v>0</v>
      </c>
      <c r="AA10" s="104">
        <f>SUMIFS('2 stopień 20_21'!$I$9:$I$761,'2 stopień 20_21'!$G$9:$G$761,"BUD.04.",'2 stopień 20_21'!$K$9:$K$761,"CKZ Słupsk")</f>
        <v>0</v>
      </c>
      <c r="AB10" s="104">
        <f>SUMIFS('2 stopień 20_21'!$I$9:$I$761,'2 stopień 20_21'!$G$9:$G$761,"BUD.04.",'2 stopień 20_21'!$K$9:$K$761,"CKZ Opole")</f>
        <v>0</v>
      </c>
      <c r="AC10" s="104">
        <f>SUMIFS('2 stopień 20_21'!$I$9:$I$761,'2 stopień 20_21'!$G$9:$G$761,"BUD.04.",'2 stopień 20_21'!$K$9:$K$761,"CKZ Wrocław")</f>
        <v>0</v>
      </c>
      <c r="AD10" s="104">
        <f>SUMIFS('2 stopień 20_21'!$I$9:$I$761,'2 stopień 20_21'!$G$9:$G$761,"BUD.04.",'2 stopień 20_21'!$K$9:$K$761,"Brzeg Dolny")</f>
        <v>0</v>
      </c>
      <c r="AE10" s="104">
        <f>SUMIFS('2 stopień 20_21'!$I$9:$I$761,'2 stopień 20_21'!$G$9:$G$761,"BUD.04.",'2 stopień 20_21'!$K$9:$K$761,"")</f>
        <v>0</v>
      </c>
      <c r="AF10" s="105">
        <f t="shared" si="0"/>
        <v>2</v>
      </c>
    </row>
    <row r="11" spans="1:32">
      <c r="B11" s="106" t="s">
        <v>596</v>
      </c>
      <c r="C11" s="107">
        <v>713303</v>
      </c>
      <c r="D11" s="107" t="s">
        <v>678</v>
      </c>
      <c r="E11" s="106" t="s">
        <v>677</v>
      </c>
      <c r="F11" s="103">
        <f>SUMIF('2 stopień 20_21'!G$9:G$761,"BUD.05.",'2 stopień 20_21'!I$9:I$761)</f>
        <v>0</v>
      </c>
      <c r="G11" s="104">
        <f>SUMIFS('2 stopień 20_21'!$I$9:$I$761,'2 stopień 20_21'!$G$9:$G$761,"BUD.05.",'2 stopień 20_21'!$K$9:$K$761,"CKZ Bielawa")</f>
        <v>0</v>
      </c>
      <c r="H11" s="104">
        <f>SUMIFS('2 stopień 20_21'!$I$9:$I$761,'2 stopień 20_21'!$G$9:$G$761,"BUD.05.",'2 stopień 20_21'!$K$9:$K$761,"GCKZ Głogów")</f>
        <v>0</v>
      </c>
      <c r="I11" s="104">
        <f>SUMIFS('2 stopień 20_21'!$I$9:$I$761,'2 stopień 20_21'!$G$9:$G$761,"BUD.05.",'2 stopień 20_21'!$K$9:$K$761,"CKZ Jawor")</f>
        <v>0</v>
      </c>
      <c r="J11" s="104">
        <f>SUMIFS('2 stopień 20_21'!$I$9:$I$761,'2 stopień 20_21'!$G$9:$G$761,"BUD.05.",'2 stopień 20_21'!$K$9:$K$761,"JCKZ Jelenia Góra")</f>
        <v>0</v>
      </c>
      <c r="K11" s="104">
        <f>SUMIFS('2 stopień 20_21'!$I$9:$I$761,'2 stopień 20_21'!$G$9:$G$761,"BUD.05.",'2 stopień 20_21'!$K$9:$K$761,"CKZ Kłodzko")</f>
        <v>0</v>
      </c>
      <c r="L11" s="104">
        <f>SUMIFS('2 stopień 20_21'!$I$9:$I$761,'2 stopień 20_21'!$G$9:$G$761,"BUD.05.",'2 stopień 20_21'!$K$9:$K$761,"CKZ Legnica")</f>
        <v>0</v>
      </c>
      <c r="M11" s="104">
        <f>SUMIFS('2 stopień 20_21'!$I$9:$I$761,'2 stopień 20_21'!$G$9:$G$761,"BUD.05.",'2 stopień 20_21'!$K$9:$K$761,"CKZ Oleśnica")</f>
        <v>0</v>
      </c>
      <c r="N11" s="104">
        <f>SUMIFS('2 stopień 20_21'!$I$9:$I$761,'2 stopień 20_21'!$G$9:$G$761,"BUD.05.",'2 stopień 20_21'!$K$9:$K$761,"CKZ Świdnica")</f>
        <v>0</v>
      </c>
      <c r="O11" s="104">
        <f>SUMIFS('2 stopień 20_21'!$I$9:$I$761,'2 stopień 20_21'!$G$9:$G$761,"BUD.05.",'2 stopień 20_21'!$K$9:$K$761,"CKZ Wołów")</f>
        <v>0</v>
      </c>
      <c r="P11" s="104">
        <f>SUMIFS('2 stopień 20_21'!$I$9:$I$761,'2 stopień 20_21'!$G$9:$G$761,"BUD.05.",'2 stopień 20_21'!$K$9:$K$761,"CKZ Ziębice")</f>
        <v>0</v>
      </c>
      <c r="Q11" s="104">
        <f>SUMIFS('2 stopień 20_21'!$I$9:$I$761,'2 stopień 20_21'!$G$9:$G$761,"BUD.05.",'2 stopień 20_21'!$K$9:$K$761,"CKZ Dobrodzień")</f>
        <v>0</v>
      </c>
      <c r="R11" s="104">
        <f>SUMIFS('2 stopień 20_21'!$I$9:$I$761,'2 stopień 20_21'!$G$9:$G$761,"BUD.05.",'2 stopień 20_21'!$K$9:$K$761,"CKZ Głubczyce")</f>
        <v>0</v>
      </c>
      <c r="S11" s="104">
        <f>SUMIFS('2 stopień 20_21'!$I$9:$I$761,'2 stopień 20_21'!$G$9:$G$761,"BUD.05.",'2 stopień 20_21'!$K$9:$K$761,"CKZ Kędzierzyn Koźle")</f>
        <v>0</v>
      </c>
      <c r="T11" s="104">
        <f>SUMIFS('2 stopień 20_21'!$I$9:$I$761,'2 stopień 20_21'!$G$9:$G$761,"BUD.05.",'2 stopień 20_21'!$K$9:$K$761,"CKZ Kluczbork")</f>
        <v>0</v>
      </c>
      <c r="U11" s="104">
        <f>SUMIFS('2 stopień 20_21'!$I$9:$I$761,'2 stopień 20_21'!$G$9:$G$761,"BUD.05.",'2 stopień 20_21'!$K$9:$K$761,"CKZ Krotoszyn")</f>
        <v>0</v>
      </c>
      <c r="V11" s="104">
        <f>SUMIFS('2 stopień 20_21'!$I$9:$I$761,'2 stopień 20_21'!$G$9:$G$761,"BUD.05.",'2 stopień 20_21'!$K$9:$K$761,"CKZ Olkusz")</f>
        <v>0</v>
      </c>
      <c r="W11" s="104">
        <f>SUMIFS('2 stopień 20_21'!$I$9:$I$761,'2 stopień 20_21'!$G$9:$G$761,"BUD.05.",'2 stopień 20_21'!$K$9:$K$761,"CKZ Wschowa")</f>
        <v>0</v>
      </c>
      <c r="X11" s="104">
        <f>SUMIFS('2 stopień 20_21'!$I$9:$I$761,'2 stopień 20_21'!$G$9:$G$761,"BUD.05.",'2 stopień 20_21'!$K$9:$K$761,"CKZ Zielona Góra")</f>
        <v>0</v>
      </c>
      <c r="Y11" s="104">
        <f>SUMIFS('2 stopień 20_21'!$I$9:$I$761,'2 stopień 20_21'!$G$9:$G$761,"BUD.05.",'2 stopień 20_21'!$K$9:$K$761,"Rzemieślnicza Wałbrzych")</f>
        <v>0</v>
      </c>
      <c r="Z11" s="104">
        <f>SUMIFS('2 stopień 20_21'!$I$9:$I$761,'2 stopień 20_21'!$G$9:$G$761,"BUD.05.",'2 stopień 20_21'!$K$9:$K$761,"CKZ Mosina")</f>
        <v>0</v>
      </c>
      <c r="AA11" s="104">
        <f>SUMIFS('2 stopień 20_21'!$I$9:$I$761,'2 stopień 20_21'!$G$9:$G$761,"BUD.05.",'2 stopień 20_21'!$K$9:$K$761,"CKZ Słupsk")</f>
        <v>0</v>
      </c>
      <c r="AB11" s="104">
        <f>SUMIFS('2 stopień 20_21'!$I$9:$I$761,'2 stopień 20_21'!$G$9:$G$761,"BUD.05.",'2 stopień 20_21'!$K$9:$K$761,"CKZ Opole")</f>
        <v>0</v>
      </c>
      <c r="AC11" s="104">
        <f>SUMIFS('2 stopień 20_21'!$I$9:$I$761,'2 stopień 20_21'!$G$9:$G$761,"BUD.05.",'2 stopień 20_21'!$K$9:$K$761,"CKZ Wrocław")</f>
        <v>0</v>
      </c>
      <c r="AD11" s="104">
        <f>SUMIFS('2 stopień 20_21'!$I$9:$I$761,'2 stopień 20_21'!$G$9:$G$761,"BUD.05.",'2 stopień 20_21'!$K$9:$K$761,"Brzeg Dolny")</f>
        <v>0</v>
      </c>
      <c r="AE11" s="104">
        <f>SUMIFS('2 stopień 20_21'!$I$9:$I$761,'2 stopień 20_21'!$G$9:$G$761,"BUD.05.",'2 stopień 20_21'!$K$9:$K$761,"")</f>
        <v>0</v>
      </c>
      <c r="AF11" s="105">
        <f t="shared" si="0"/>
        <v>0</v>
      </c>
    </row>
    <row r="12" spans="1:32">
      <c r="B12" s="106" t="s">
        <v>597</v>
      </c>
      <c r="C12" s="107">
        <v>712401</v>
      </c>
      <c r="D12" s="107" t="s">
        <v>680</v>
      </c>
      <c r="E12" s="106" t="s">
        <v>679</v>
      </c>
      <c r="F12" s="103">
        <f>SUMIF('2 stopień 20_21'!G$9:G$761,"BUD.06.",'2 stopień 20_21'!I$9:I$761)</f>
        <v>0</v>
      </c>
      <c r="G12" s="104">
        <f>SUMIFS('2 stopień 20_21'!$I$9:$I$761,'2 stopień 20_21'!$G$9:$G$761,"BUD.06.",'2 stopień 20_21'!$K$9:$K$761,"CKZ Bielawa")</f>
        <v>0</v>
      </c>
      <c r="H12" s="104">
        <f>SUMIFS('2 stopień 20_21'!$I$9:$I$761,'2 stopień 20_21'!$G$9:$G$761,"BUD.06.",'2 stopień 20_21'!$K$9:$K$761,"GCKZ Głogów")</f>
        <v>0</v>
      </c>
      <c r="I12" s="104">
        <f>SUMIFS('2 stopień 20_21'!$I$9:$I$761,'2 stopień 20_21'!$G$9:$G$761,"BUD.06.",'2 stopień 20_21'!$K$9:$K$761,"CKZ Jawor")</f>
        <v>0</v>
      </c>
      <c r="J12" s="104">
        <f>SUMIFS('2 stopień 20_21'!$I$9:$I$761,'2 stopień 20_21'!$G$9:$G$761,"BUD.06.",'2 stopień 20_21'!$K$9:$K$761,"JCKZ Jelenia Góra")</f>
        <v>0</v>
      </c>
      <c r="K12" s="104">
        <f>SUMIFS('2 stopień 20_21'!$I$9:$I$761,'2 stopień 20_21'!$G$9:$G$761,"BUD.06.",'2 stopień 20_21'!$K$9:$K$761,"CKZ Kłodzko")</f>
        <v>0</v>
      </c>
      <c r="L12" s="104">
        <f>SUMIFS('2 stopień 20_21'!$I$9:$I$761,'2 stopień 20_21'!$G$9:$G$761,"BUD.06.",'2 stopień 20_21'!$K$9:$K$761,"CKZ Legnica")</f>
        <v>0</v>
      </c>
      <c r="M12" s="104">
        <f>SUMIFS('2 stopień 20_21'!$I$9:$I$761,'2 stopień 20_21'!$G$9:$G$761,"BUD.06.",'2 stopień 20_21'!$K$9:$K$761,"CKZ Oleśnica")</f>
        <v>0</v>
      </c>
      <c r="N12" s="104">
        <f>SUMIFS('2 stopień 20_21'!$I$9:$I$761,'2 stopień 20_21'!$G$9:$G$761,"BUD.06.",'2 stopień 20_21'!$K$9:$K$761,"CKZ Świdnica")</f>
        <v>0</v>
      </c>
      <c r="O12" s="104">
        <f>SUMIFS('2 stopień 20_21'!$I$9:$I$761,'2 stopień 20_21'!$G$9:$G$761,"BUD.06.",'2 stopień 20_21'!$K$9:$K$761,"CKZ Wołów")</f>
        <v>0</v>
      </c>
      <c r="P12" s="104">
        <f>SUMIFS('2 stopień 20_21'!$I$9:$I$761,'2 stopień 20_21'!$G$9:$G$761,"BUD.06.",'2 stopień 20_21'!$K$9:$K$761,"CKZ Ziębice")</f>
        <v>0</v>
      </c>
      <c r="Q12" s="104">
        <f>SUMIFS('2 stopień 20_21'!$I$9:$I$761,'2 stopień 20_21'!$G$9:$G$761,"BUD.06.",'2 stopień 20_21'!$K$9:$K$761,"CKZ Dobrodzień")</f>
        <v>0</v>
      </c>
      <c r="R12" s="104">
        <f>SUMIFS('2 stopień 20_21'!$I$9:$I$761,'2 stopień 20_21'!$G$9:$G$761,"BUD.06.",'2 stopień 20_21'!$K$9:$K$761,"CKZ Głubczyce")</f>
        <v>0</v>
      </c>
      <c r="S12" s="104">
        <f>SUMIFS('2 stopień 20_21'!$I$9:$I$761,'2 stopień 20_21'!$G$9:$G$761,"BUD.06.",'2 stopień 20_21'!$K$9:$K$761,"CKZ Kędzierzyn Koźle")</f>
        <v>0</v>
      </c>
      <c r="T12" s="104">
        <f>SUMIFS('2 stopień 20_21'!$I$9:$I$761,'2 stopień 20_21'!$G$9:$G$761,"BUD.06.",'2 stopień 20_21'!$K$9:$K$761,"CKZ Kluczbork")</f>
        <v>0</v>
      </c>
      <c r="U12" s="104">
        <f>SUMIFS('2 stopień 20_21'!$I$9:$I$761,'2 stopień 20_21'!$G$9:$G$761,"BUD.06.",'2 stopień 20_21'!$K$9:$K$761,"CKZ Krotoszyn")</f>
        <v>0</v>
      </c>
      <c r="V12" s="104">
        <f>SUMIFS('2 stopień 20_21'!$I$9:$I$761,'2 stopień 20_21'!$G$9:$G$761,"BUD.06.",'2 stopień 20_21'!$K$9:$K$761,"CKZ Olkusz")</f>
        <v>0</v>
      </c>
      <c r="W12" s="104">
        <f>SUMIFS('2 stopień 20_21'!$I$9:$I$761,'2 stopień 20_21'!$G$9:$G$761,"BUD.06.",'2 stopień 20_21'!$K$9:$K$761,"CKZ Wschowa")</f>
        <v>0</v>
      </c>
      <c r="X12" s="104">
        <f>SUMIFS('2 stopień 20_21'!$I$9:$I$761,'2 stopień 20_21'!$G$9:$G$761,"BUD.06.",'2 stopień 20_21'!$K$9:$K$761,"CKZ Zielona Góra")</f>
        <v>0</v>
      </c>
      <c r="Y12" s="104">
        <f>SUMIFS('2 stopień 20_21'!$I$9:$I$761,'2 stopień 20_21'!$G$9:$G$761,"BUD.06.",'2 stopień 20_21'!$K$9:$K$761,"Rzemieślnicza Wałbrzych")</f>
        <v>0</v>
      </c>
      <c r="Z12" s="104">
        <f>SUMIFS('2 stopień 20_21'!$I$9:$I$761,'2 stopień 20_21'!$G$9:$G$761,"BUD.06.",'2 stopień 20_21'!$K$9:$K$761,"CKZ Mosina")</f>
        <v>0</v>
      </c>
      <c r="AA12" s="104">
        <f>SUMIFS('2 stopień 20_21'!$I$9:$I$761,'2 stopień 20_21'!$G$9:$G$761,"BUD.06.",'2 stopień 20_21'!$K$9:$K$761,"CKZ Słupsk")</f>
        <v>0</v>
      </c>
      <c r="AB12" s="104">
        <f>SUMIFS('2 stopień 20_21'!$I$9:$I$761,'2 stopień 20_21'!$G$9:$G$761,"BUD.06.",'2 stopień 20_21'!$K$9:$K$761,"CKZ Opole")</f>
        <v>0</v>
      </c>
      <c r="AC12" s="104">
        <f>SUMIFS('2 stopień 20_21'!$I$9:$I$761,'2 stopień 20_21'!$G$9:$G$761,"BUD.06.",'2 stopień 20_21'!$K$9:$K$761,"CKZ Wrocław")</f>
        <v>0</v>
      </c>
      <c r="AD12" s="104">
        <f>SUMIFS('2 stopień 20_21'!$I$9:$I$761,'2 stopień 20_21'!$G$9:$G$761,"BUD.06.",'2 stopień 20_21'!$K$9:$K$761,"Brzeg Dolny")</f>
        <v>0</v>
      </c>
      <c r="AE12" s="104">
        <f>SUMIFS('2 stopień 20_21'!$I$9:$I$761,'2 stopień 20_21'!$G$9:$G$761,"BUD.06.",'2 stopień 20_21'!$K$9:$K$761,"")</f>
        <v>0</v>
      </c>
      <c r="AF12" s="105">
        <f t="shared" si="0"/>
        <v>0</v>
      </c>
    </row>
    <row r="13" spans="1:32" ht="16.5" customHeight="1">
      <c r="B13" s="106" t="s">
        <v>598</v>
      </c>
      <c r="C13" s="107">
        <v>712403</v>
      </c>
      <c r="D13" s="107" t="s">
        <v>682</v>
      </c>
      <c r="E13" s="106" t="s">
        <v>681</v>
      </c>
      <c r="F13" s="103">
        <f>SUMIF('2 stopień 20_21'!G$9:G$761,"BUD.07.",'2 stopień 20_21'!I$9:I$761)</f>
        <v>0</v>
      </c>
      <c r="G13" s="104">
        <f>SUMIFS('2 stopień 20_21'!$I$9:$I$761,'2 stopień 20_21'!$G$9:$G$761,"BUD.07.",'2 stopień 20_21'!$K$9:$K$761,"CKZ Bielawa")</f>
        <v>0</v>
      </c>
      <c r="H13" s="104">
        <f>SUMIFS('2 stopień 20_21'!$I$9:$I$761,'2 stopień 20_21'!$G$9:$G$761,"BUD.07.",'2 stopień 20_21'!$K$9:$K$761,"GCKZ Głogów")</f>
        <v>0</v>
      </c>
      <c r="I13" s="104">
        <f>SUMIFS('2 stopień 20_21'!$I$9:$I$761,'2 stopień 20_21'!$G$9:$G$761,"BUD.07.",'2 stopień 20_21'!$K$9:$K$761,"CKZ Jawor")</f>
        <v>0</v>
      </c>
      <c r="J13" s="104">
        <f>SUMIFS('2 stopień 20_21'!$I$9:$I$761,'2 stopień 20_21'!$G$9:$G$761,"BUD.07.",'2 stopień 20_21'!$K$9:$K$761,"JCKZ Jelenia Góra")</f>
        <v>0</v>
      </c>
      <c r="K13" s="104">
        <f>SUMIFS('2 stopień 20_21'!$I$9:$I$761,'2 stopień 20_21'!$G$9:$G$761,"BUD.07.",'2 stopień 20_21'!$K$9:$K$761,"CKZ Kłodzko")</f>
        <v>0</v>
      </c>
      <c r="L13" s="104">
        <f>SUMIFS('2 stopień 20_21'!$I$9:$I$761,'2 stopień 20_21'!$G$9:$G$761,"BUD.07.",'2 stopień 20_21'!$K$9:$K$761,"CKZ Legnica")</f>
        <v>0</v>
      </c>
      <c r="M13" s="104">
        <f>SUMIFS('2 stopień 20_21'!$I$9:$I$761,'2 stopień 20_21'!$G$9:$G$761,"BUD.07.",'2 stopień 20_21'!$K$9:$K$761,"CKZ Oleśnica")</f>
        <v>0</v>
      </c>
      <c r="N13" s="104">
        <f>SUMIFS('2 stopień 20_21'!$I$9:$I$761,'2 stopień 20_21'!$G$9:$G$761,"BUD.07.",'2 stopień 20_21'!$K$9:$K$761,"CKZ Świdnica")</f>
        <v>0</v>
      </c>
      <c r="O13" s="104">
        <f>SUMIFS('2 stopień 20_21'!$I$9:$I$761,'2 stopień 20_21'!$G$9:$G$761,"BUD.07.",'2 stopień 20_21'!$K$9:$K$761,"CKZ Wołów")</f>
        <v>0</v>
      </c>
      <c r="P13" s="104">
        <f>SUMIFS('2 stopień 20_21'!$I$9:$I$761,'2 stopień 20_21'!$G$9:$G$761,"BUD.07.",'2 stopień 20_21'!$K$9:$K$761,"CKZ Ziębice")</f>
        <v>0</v>
      </c>
      <c r="Q13" s="104">
        <f>SUMIFS('2 stopień 20_21'!$I$9:$I$761,'2 stopień 20_21'!$G$9:$G$761,"BUD.07.",'2 stopień 20_21'!$K$9:$K$761,"CKZ Dobrodzień")</f>
        <v>0</v>
      </c>
      <c r="R13" s="104">
        <f>SUMIFS('2 stopień 20_21'!$I$9:$I$761,'2 stopień 20_21'!$G$9:$G$761,"BUD.07.",'2 stopień 20_21'!$K$9:$K$761,"CKZ Głubczyce")</f>
        <v>0</v>
      </c>
      <c r="S13" s="104">
        <f>SUMIFS('2 stopień 20_21'!$I$9:$I$761,'2 stopień 20_21'!$G$9:$G$761,"BUD.07.",'2 stopień 20_21'!$K$9:$K$761,"CKZ Kędzierzyn Koźle")</f>
        <v>0</v>
      </c>
      <c r="T13" s="104">
        <f>SUMIFS('2 stopień 20_21'!$I$9:$I$761,'2 stopień 20_21'!$G$9:$G$761,"BUD.07.",'2 stopień 20_21'!$K$9:$K$761,"CKZ Kluczbork")</f>
        <v>0</v>
      </c>
      <c r="U13" s="104">
        <f>SUMIFS('2 stopień 20_21'!$I$9:$I$761,'2 stopień 20_21'!$G$9:$G$761,"BUD.07.",'2 stopień 20_21'!$K$9:$K$761,"CKZ Krotoszyn")</f>
        <v>0</v>
      </c>
      <c r="V13" s="104">
        <f>SUMIFS('2 stopień 20_21'!$I$9:$I$761,'2 stopień 20_21'!$G$9:$G$761,"BUD.07.",'2 stopień 20_21'!$K$9:$K$761,"CKZ Olkusz")</f>
        <v>0</v>
      </c>
      <c r="W13" s="104">
        <f>SUMIFS('2 stopień 20_21'!$I$9:$I$761,'2 stopień 20_21'!$G$9:$G$761,"BUD.07.",'2 stopień 20_21'!$K$9:$K$761,"CKZ Wschowa")</f>
        <v>0</v>
      </c>
      <c r="X13" s="104">
        <f>SUMIFS('2 stopień 20_21'!$I$9:$I$761,'2 stopień 20_21'!$G$9:$G$761,"BUD.07.",'2 stopień 20_21'!$K$9:$K$761,"CKZ Zielona Góra")</f>
        <v>0</v>
      </c>
      <c r="Y13" s="104">
        <f>SUMIFS('2 stopień 20_21'!$I$9:$I$761,'2 stopień 20_21'!$G$9:$G$761,"BUD.07.",'2 stopień 20_21'!$K$9:$K$761,"Rzemieślnicza Wałbrzych")</f>
        <v>0</v>
      </c>
      <c r="Z13" s="104">
        <f>SUMIFS('2 stopień 20_21'!$I$9:$I$761,'2 stopień 20_21'!$G$9:$G$761,"BUD.07.",'2 stopień 20_21'!$K$9:$K$761,"CKZ Mosina")</f>
        <v>0</v>
      </c>
      <c r="AA13" s="104">
        <f>SUMIFS('2 stopień 20_21'!$I$9:$I$761,'2 stopień 20_21'!$G$9:$G$761,"BUD.07.",'2 stopień 20_21'!$K$9:$K$761,"CKZ Słupsk")</f>
        <v>0</v>
      </c>
      <c r="AB13" s="104">
        <f>SUMIFS('2 stopień 20_21'!$I$9:$I$761,'2 stopień 20_21'!$G$9:$G$761,"BUD.07.",'2 stopień 20_21'!$K$9:$K$761,"CKZ Opole")</f>
        <v>0</v>
      </c>
      <c r="AC13" s="104">
        <f>SUMIFS('2 stopień 20_21'!$I$9:$I$761,'2 stopień 20_21'!$G$9:$G$761,"BUD.07.",'2 stopień 20_21'!$K$9:$K$761,"CKZ Wrocław")</f>
        <v>0</v>
      </c>
      <c r="AD13" s="104">
        <f>SUMIFS('2 stopień 20_21'!$I$9:$I$761,'2 stopień 20_21'!$G$9:$G$761,"BUD.07.",'2 stopień 20_21'!$K$9:$K$761,"Brzeg Dolny")</f>
        <v>0</v>
      </c>
      <c r="AE13" s="104">
        <f>SUMIFS('2 stopień 20_21'!$I$9:$I$761,'2 stopień 20_21'!$G$9:$G$761,"BUD.07.",'2 stopień 20_21'!$K$9:$K$761,"")</f>
        <v>0</v>
      </c>
      <c r="AF13" s="105">
        <f t="shared" si="0"/>
        <v>0</v>
      </c>
    </row>
    <row r="14" spans="1:32">
      <c r="B14" s="106" t="s">
        <v>599</v>
      </c>
      <c r="C14" s="107">
        <v>711102</v>
      </c>
      <c r="D14" s="107" t="s">
        <v>684</v>
      </c>
      <c r="E14" s="106" t="s">
        <v>683</v>
      </c>
      <c r="F14" s="103">
        <f>SUMIF('2 stopień 20_21'!G$9:G$761,"BUD.08.",'2 stopień 20_21'!I$9:I$761)</f>
        <v>0</v>
      </c>
      <c r="G14" s="104">
        <f>SUMIFS('2 stopień 20_21'!$I$9:$I$761,'2 stopień 20_21'!$G$9:$G$761,"BUD.08.",'2 stopień 20_21'!$K$9:$K$761,"CKZ Bielawa")</f>
        <v>0</v>
      </c>
      <c r="H14" s="104">
        <f>SUMIFS('2 stopień 20_21'!$I$9:$I$761,'2 stopień 20_21'!$G$9:$G$761,"BUD.08.",'2 stopień 20_21'!$K$9:$K$761,"GCKZ Głogów")</f>
        <v>0</v>
      </c>
      <c r="I14" s="104">
        <f>SUMIFS('2 stopień 20_21'!$I$9:$I$761,'2 stopień 20_21'!$G$9:$G$761,"BUD.08.",'2 stopień 20_21'!$K$9:$K$761,"CKZ Jawor")</f>
        <v>0</v>
      </c>
      <c r="J14" s="104">
        <f>SUMIFS('2 stopień 20_21'!$I$9:$I$761,'2 stopień 20_21'!$G$9:$G$761,"BUD.08.",'2 stopień 20_21'!$K$9:$K$761,"JCKZ Jelenia Góra")</f>
        <v>0</v>
      </c>
      <c r="K14" s="104">
        <f>SUMIFS('2 stopień 20_21'!$I$9:$I$761,'2 stopień 20_21'!$G$9:$G$761,"BUD.08.",'2 stopień 20_21'!$K$9:$K$761,"CKZ Kłodzko")</f>
        <v>0</v>
      </c>
      <c r="L14" s="104">
        <f>SUMIFS('2 stopień 20_21'!$I$9:$I$761,'2 stopień 20_21'!$G$9:$G$761,"BUD.08.",'2 stopień 20_21'!$K$9:$K$761,"CKZ Legnica")</f>
        <v>0</v>
      </c>
      <c r="M14" s="104">
        <f>SUMIFS('2 stopień 20_21'!$I$9:$I$761,'2 stopień 20_21'!$G$9:$G$761,"BUD.08.",'2 stopień 20_21'!$K$9:$K$761,"CKZ Oleśnica")</f>
        <v>0</v>
      </c>
      <c r="N14" s="104">
        <f>SUMIFS('2 stopień 20_21'!$I$9:$I$761,'2 stopień 20_21'!$G$9:$G$761,"BUD.08.",'2 stopień 20_21'!$K$9:$K$761,"CKZ Świdnica")</f>
        <v>0</v>
      </c>
      <c r="O14" s="104">
        <f>SUMIFS('2 stopień 20_21'!$I$9:$I$761,'2 stopień 20_21'!$G$9:$G$761,"BUD.08.",'2 stopień 20_21'!$K$9:$K$761,"CKZ Wołów")</f>
        <v>0</v>
      </c>
      <c r="P14" s="104">
        <f>SUMIFS('2 stopień 20_21'!$I$9:$I$761,'2 stopień 20_21'!$G$9:$G$761,"BUD.08.",'2 stopień 20_21'!$K$9:$K$761,"CKZ Ziębice")</f>
        <v>0</v>
      </c>
      <c r="Q14" s="104">
        <f>SUMIFS('2 stopień 20_21'!$I$9:$I$761,'2 stopień 20_21'!$G$9:$G$761,"BUD.08.",'2 stopień 20_21'!$K$9:$K$761,"CKZ Dobrodzień")</f>
        <v>0</v>
      </c>
      <c r="R14" s="104">
        <f>SUMIFS('2 stopień 20_21'!$I$9:$I$761,'2 stopień 20_21'!$G$9:$G$761,"BUD.08.",'2 stopień 20_21'!$K$9:$K$761,"CKZ Głubczyce")</f>
        <v>0</v>
      </c>
      <c r="S14" s="104">
        <f>SUMIFS('2 stopień 20_21'!$I$9:$I$761,'2 stopień 20_21'!$G$9:$G$761,"BUD.08.",'2 stopień 20_21'!$K$9:$K$761,"CKZ Kędzierzyn Koźle")</f>
        <v>0</v>
      </c>
      <c r="T14" s="104">
        <f>SUMIFS('2 stopień 20_21'!$I$9:$I$761,'2 stopień 20_21'!$G$9:$G$761,"BUD.08.",'2 stopień 20_21'!$K$9:$K$761,"CKZ Kluczbork")</f>
        <v>0</v>
      </c>
      <c r="U14" s="104">
        <f>SUMIFS('2 stopień 20_21'!$I$9:$I$761,'2 stopień 20_21'!$G$9:$G$761,"BUD.08.",'2 stopień 20_21'!$K$9:$K$761,"CKZ Krotoszyn")</f>
        <v>0</v>
      </c>
      <c r="V14" s="104">
        <f>SUMIFS('2 stopień 20_21'!$I$9:$I$761,'2 stopień 20_21'!$G$9:$G$761,"BUD.08.",'2 stopień 20_21'!$K$9:$K$761,"CKZ Olkusz")</f>
        <v>0</v>
      </c>
      <c r="W14" s="104">
        <f>SUMIFS('2 stopień 20_21'!$I$9:$I$761,'2 stopień 20_21'!$G$9:$G$761,"BUD.08.",'2 stopień 20_21'!$K$9:$K$761,"CKZ Wschowa")</f>
        <v>0</v>
      </c>
      <c r="X14" s="104">
        <f>SUMIFS('2 stopień 20_21'!$I$9:$I$761,'2 stopień 20_21'!$G$9:$G$761,"BUD.08.",'2 stopień 20_21'!$K$9:$K$761,"CKZ Zielona Góra")</f>
        <v>0</v>
      </c>
      <c r="Y14" s="104">
        <f>SUMIFS('2 stopień 20_21'!$I$9:$I$761,'2 stopień 20_21'!$G$9:$G$761,"BUD.08.",'2 stopień 20_21'!$K$9:$K$761,"Rzemieślnicza Wałbrzych")</f>
        <v>0</v>
      </c>
      <c r="Z14" s="104">
        <f>SUMIFS('2 stopień 20_21'!$I$9:$I$761,'2 stopień 20_21'!$G$9:$G$761,"BUD.08.",'2 stopień 20_21'!$K$9:$K$761,"CKZ Mosina")</f>
        <v>0</v>
      </c>
      <c r="AA14" s="104">
        <f>SUMIFS('2 stopień 20_21'!$I$9:$I$761,'2 stopień 20_21'!$G$9:$G$761,"BUD.08.",'2 stopień 20_21'!$K$9:$K$761,"CKZ Słupsk")</f>
        <v>0</v>
      </c>
      <c r="AB14" s="104">
        <f>SUMIFS('2 stopień 20_21'!$I$9:$I$761,'2 stopień 20_21'!$G$9:$G$761,"BUD.08.",'2 stopień 20_21'!$K$9:$K$761,"CKZ Opole")</f>
        <v>0</v>
      </c>
      <c r="AC14" s="104">
        <f>SUMIFS('2 stopień 20_21'!$I$9:$I$761,'2 stopień 20_21'!$G$9:$G$761,"BUD.08.",'2 stopień 20_21'!$K$9:$K$761,"CKZ Wrocław")</f>
        <v>0</v>
      </c>
      <c r="AD14" s="104">
        <f>SUMIFS('2 stopień 20_21'!$I$9:$I$761,'2 stopień 20_21'!$G$9:$G$761,"BUD.08.",'2 stopień 20_21'!$K$9:$K$761,"Brzeg Dolny")</f>
        <v>0</v>
      </c>
      <c r="AE14" s="104">
        <f>SUMIFS('2 stopień 20_21'!$I$9:$I$761,'2 stopień 20_21'!$G$9:$G$761,"BUD.08.",'2 stopień 20_21'!$K$9:$K$761,"")</f>
        <v>0</v>
      </c>
      <c r="AF14" s="105">
        <f t="shared" si="0"/>
        <v>0</v>
      </c>
    </row>
    <row r="15" spans="1:32">
      <c r="B15" s="106" t="s">
        <v>144</v>
      </c>
      <c r="C15" s="107">
        <v>712618</v>
      </c>
      <c r="D15" s="107" t="s">
        <v>686</v>
      </c>
      <c r="E15" s="106" t="s">
        <v>685</v>
      </c>
      <c r="F15" s="103">
        <f>SUMIF('2 stopień 20_21'!G$9:G$761,"BUD.09.",'2 stopień 20_21'!I$9:I$761)</f>
        <v>64</v>
      </c>
      <c r="G15" s="104">
        <f>SUMIFS('2 stopień 20_21'!$I$9:$I$761,'2 stopień 20_21'!$G$9:$G$761,"BUD.09.",'2 stopień 20_21'!$K$9:$K$761,"CKZ Bielawa")</f>
        <v>0</v>
      </c>
      <c r="H15" s="104">
        <f>SUMIFS('2 stopień 20_21'!$I$9:$I$761,'2 stopień 20_21'!$G$9:$G$761,"BUD.09.",'2 stopień 20_21'!$K$9:$K$761,"GCKZ Głogów")</f>
        <v>0</v>
      </c>
      <c r="I15" s="104">
        <f>SUMIFS('2 stopień 20_21'!$I$9:$I$761,'2 stopień 20_21'!$G$9:$G$761,"BUD.09.",'2 stopień 20_21'!$K$9:$K$761,"CKZ Jawor")</f>
        <v>0</v>
      </c>
      <c r="J15" s="104">
        <f>SUMIFS('2 stopień 20_21'!$I$9:$I$761,'2 stopień 20_21'!$G$9:$G$761,"BUD.09.",'2 stopień 20_21'!$K$9:$K$761,"JCKZ Jelenia Góra")</f>
        <v>0</v>
      </c>
      <c r="K15" s="104">
        <f>SUMIFS('2 stopień 20_21'!$I$9:$I$761,'2 stopień 20_21'!$G$9:$G$761,"BUD.09.",'2 stopień 20_21'!$K$9:$K$761,"CKZ Kłodzko")</f>
        <v>0</v>
      </c>
      <c r="L15" s="104">
        <f>SUMIFS('2 stopień 20_21'!$I$9:$I$761,'2 stopień 20_21'!$G$9:$G$761,"BUD.09.",'2 stopień 20_21'!$K$9:$K$761,"CKZ Legnica")</f>
        <v>0</v>
      </c>
      <c r="M15" s="104">
        <f>SUMIFS('2 stopień 20_21'!$I$9:$I$761,'2 stopień 20_21'!$G$9:$G$761,"BUD.09.",'2 stopień 20_21'!$K$9:$K$761,"CKZ Oleśnica")</f>
        <v>17</v>
      </c>
      <c r="N15" s="104">
        <f>SUMIFS('2 stopień 20_21'!$I$9:$I$761,'2 stopień 20_21'!$G$9:$G$761,"BUD.09.",'2 stopień 20_21'!$K$9:$K$761,"CKZ Świdnica")</f>
        <v>41</v>
      </c>
      <c r="O15" s="104">
        <f>SUMIFS('2 stopień 20_21'!$I$9:$I$761,'2 stopień 20_21'!$G$9:$G$761,"BUD.09.",'2 stopień 20_21'!$K$9:$K$761,"CKZ Wołów")</f>
        <v>0</v>
      </c>
      <c r="P15" s="104">
        <f>SUMIFS('2 stopień 20_21'!$I$9:$I$761,'2 stopień 20_21'!$G$9:$G$761,"BUD.09.",'2 stopień 20_21'!$K$9:$K$761,"CKZ Ziębice")</f>
        <v>0</v>
      </c>
      <c r="Q15" s="104">
        <f>SUMIFS('2 stopień 20_21'!$I$9:$I$761,'2 stopień 20_21'!$G$9:$G$761,"BUD.09.",'2 stopień 20_21'!$K$9:$K$761,"CKZ Dobrodzień")</f>
        <v>0</v>
      </c>
      <c r="R15" s="104">
        <f>SUMIFS('2 stopień 20_21'!$I$9:$I$761,'2 stopień 20_21'!$G$9:$G$761,"BUD.09.",'2 stopień 20_21'!$K$9:$K$761,"CKZ Głubczyce")</f>
        <v>0</v>
      </c>
      <c r="S15" s="104">
        <f>SUMIFS('2 stopień 20_21'!$I$9:$I$761,'2 stopień 20_21'!$G$9:$G$761,"BUD.09.",'2 stopień 20_21'!$K$9:$K$761,"CKZ Kędzierzyn Koźle")</f>
        <v>0</v>
      </c>
      <c r="T15" s="104">
        <f>SUMIFS('2 stopień 20_21'!$I$9:$I$761,'2 stopień 20_21'!$G$9:$G$761,"BUD.09.",'2 stopień 20_21'!$K$9:$K$761,"CKZ Kluczbork")</f>
        <v>0</v>
      </c>
      <c r="U15" s="104">
        <f>SUMIFS('2 stopień 20_21'!$I$9:$I$761,'2 stopień 20_21'!$G$9:$G$761,"BUD.09.",'2 stopień 20_21'!$K$9:$K$761,"CKZ Krotoszyn")</f>
        <v>0</v>
      </c>
      <c r="V15" s="104">
        <f>SUMIFS('2 stopień 20_21'!$I$9:$I$761,'2 stopień 20_21'!$G$9:$G$761,"BUD.09.",'2 stopień 20_21'!$K$9:$K$761,"CKZ Olkusz")</f>
        <v>0</v>
      </c>
      <c r="W15" s="104">
        <f>SUMIFS('2 stopień 20_21'!$I$9:$I$761,'2 stopień 20_21'!$G$9:$G$761,"BUD.09.",'2 stopień 20_21'!$K$9:$K$761,"CKZ Wschowa")</f>
        <v>6</v>
      </c>
      <c r="X15" s="104">
        <f>SUMIFS('2 stopień 20_21'!$I$9:$I$761,'2 stopień 20_21'!$G$9:$G$761,"BUD.09.",'2 stopień 20_21'!$K$9:$K$761,"CKZ Zielona Góra")</f>
        <v>0</v>
      </c>
      <c r="Y15" s="104">
        <f>SUMIFS('2 stopień 20_21'!$I$9:$I$761,'2 stopień 20_21'!$G$9:$G$761,"BUD.09.",'2 stopień 20_21'!$K$9:$K$761,"Rzemieślnicza Wałbrzych")</f>
        <v>0</v>
      </c>
      <c r="Z15" s="104">
        <f>SUMIFS('2 stopień 20_21'!$I$9:$I$761,'2 stopień 20_21'!$G$9:$G$761,"BUD.09.",'2 stopień 20_21'!$K$9:$K$761,"CKZ Mosina")</f>
        <v>0</v>
      </c>
      <c r="AA15" s="104">
        <f>SUMIFS('2 stopień 20_21'!$I$9:$I$761,'2 stopień 20_21'!$G$9:$G$761,"BUD.09.",'2 stopień 20_21'!$K$9:$K$761,"CKZ Słupsk")</f>
        <v>0</v>
      </c>
      <c r="AB15" s="104">
        <f>SUMIFS('2 stopień 20_21'!$I$9:$I$761,'2 stopień 20_21'!$G$9:$G$761,"BUD.09.",'2 stopień 20_21'!$K$9:$K$761,"CKZ Opole")</f>
        <v>0</v>
      </c>
      <c r="AC15" s="104">
        <f>SUMIFS('2 stopień 20_21'!$I$9:$I$761,'2 stopień 20_21'!$G$9:$G$761,"BUD.09.",'2 stopień 20_21'!$K$9:$K$761,"CKZ Wrocław")</f>
        <v>0</v>
      </c>
      <c r="AD15" s="104">
        <f>SUMIFS('2 stopień 20_21'!$I$9:$I$761,'2 stopień 20_21'!$G$9:$G$761,"BUD.09.",'2 stopień 20_21'!$K$9:$K$761,"Brzeg Dolny")</f>
        <v>0</v>
      </c>
      <c r="AE15" s="104">
        <f>SUMIFS('2 stopień 20_21'!$I$9:$I$761,'2 stopień 20_21'!$G$9:$G$761,"BUD.09.",'2 stopień 20_21'!$K$9:$K$761,"")</f>
        <v>0</v>
      </c>
      <c r="AF15" s="105">
        <f t="shared" si="0"/>
        <v>64</v>
      </c>
    </row>
    <row r="16" spans="1:32">
      <c r="B16" s="106" t="s">
        <v>557</v>
      </c>
      <c r="C16" s="107">
        <v>712906</v>
      </c>
      <c r="D16" s="107" t="s">
        <v>688</v>
      </c>
      <c r="E16" s="106" t="s">
        <v>687</v>
      </c>
      <c r="F16" s="103">
        <f>SUMIF('2 stopień 20_21'!G$9:G$761,"BUD.10.",'2 stopień 20_21'!I$9:I$761)</f>
        <v>4</v>
      </c>
      <c r="G16" s="104">
        <f>SUMIFS('2 stopień 20_21'!$I$9:$I$761,'2 stopień 20_21'!$G$9:$G$761,"BUD.10.",'2 stopień 20_21'!$K$9:$K$761,"CKZ Bielawa")</f>
        <v>0</v>
      </c>
      <c r="H16" s="104">
        <f>SUMIFS('2 stopień 20_21'!$I$9:$I$761,'2 stopień 20_21'!$G$9:$G$761,"BUD.10.",'2 stopień 20_21'!$K$9:$K$761,"GCKZ Głogów")</f>
        <v>0</v>
      </c>
      <c r="I16" s="104">
        <f>SUMIFS('2 stopień 20_21'!$I$9:$I$761,'2 stopień 20_21'!$G$9:$G$761,"BUD.10.",'2 stopień 20_21'!$K$9:$K$761,"CKZ Jawor")</f>
        <v>0</v>
      </c>
      <c r="J16" s="104">
        <f>SUMIFS('2 stopień 20_21'!$I$9:$I$761,'2 stopień 20_21'!$G$9:$G$761,"BUD.10.",'2 stopień 20_21'!$K$9:$K$761,"JCKZ Jelenia Góra")</f>
        <v>0</v>
      </c>
      <c r="K16" s="104">
        <f>SUMIFS('2 stopień 20_21'!$I$9:$I$761,'2 stopień 20_21'!$G$9:$G$761,"BUD.10.",'2 stopień 20_21'!$K$9:$K$761,"CKZ Kłodzko")</f>
        <v>0</v>
      </c>
      <c r="L16" s="104">
        <f>SUMIFS('2 stopień 20_21'!$I$9:$I$761,'2 stopień 20_21'!$G$9:$G$761,"BUD.10.",'2 stopień 20_21'!$K$9:$K$761,"CKZ Legnica")</f>
        <v>0</v>
      </c>
      <c r="M16" s="104">
        <f>SUMIFS('2 stopień 20_21'!$I$9:$I$761,'2 stopień 20_21'!$G$9:$G$761,"BUD.10.",'2 stopień 20_21'!$K$9:$K$761,"CKZ Oleśnica")</f>
        <v>0</v>
      </c>
      <c r="N16" s="104">
        <f>SUMIFS('2 stopień 20_21'!$I$9:$I$761,'2 stopień 20_21'!$G$9:$G$761,"BUD.10.",'2 stopień 20_21'!$K$9:$K$761,"CKZ Świdnica")</f>
        <v>0</v>
      </c>
      <c r="O16" s="104">
        <f>SUMIFS('2 stopień 20_21'!$I$9:$I$761,'2 stopień 20_21'!$G$9:$G$761,"BUD.10.",'2 stopień 20_21'!$K$9:$K$761,"CKZ Wołów")</f>
        <v>0</v>
      </c>
      <c r="P16" s="104">
        <f>SUMIFS('2 stopień 20_21'!$I$9:$I$761,'2 stopień 20_21'!$G$9:$G$761,"BUD.10.",'2 stopień 20_21'!$K$9:$K$761,"CKZ Ziębice")</f>
        <v>0</v>
      </c>
      <c r="Q16" s="104">
        <f>SUMIFS('2 stopień 20_21'!$I$9:$I$761,'2 stopień 20_21'!$G$9:$G$761,"BUD.10.",'2 stopień 20_21'!$K$9:$K$761,"CKZ Dobrodzień")</f>
        <v>0</v>
      </c>
      <c r="R16" s="104">
        <f>SUMIFS('2 stopień 20_21'!$I$9:$I$761,'2 stopień 20_21'!$G$9:$G$761,"BUD.10.",'2 stopień 20_21'!$K$9:$K$761,"CKZ Głubczyce")</f>
        <v>0</v>
      </c>
      <c r="S16" s="104">
        <f>SUMIFS('2 stopień 20_21'!$I$9:$I$761,'2 stopień 20_21'!$G$9:$G$761,"BUD.10.",'2 stopień 20_21'!$K$9:$K$761,"CKZ Kędzierzyn Koźle")</f>
        <v>0</v>
      </c>
      <c r="T16" s="104">
        <f>SUMIFS('2 stopień 20_21'!$I$9:$I$761,'2 stopień 20_21'!$G$9:$G$761,"BUD.10.",'2 stopień 20_21'!$K$9:$K$761,"CKZ Kluczbork")</f>
        <v>0</v>
      </c>
      <c r="U16" s="104">
        <f>SUMIFS('2 stopień 20_21'!$I$9:$I$761,'2 stopień 20_21'!$G$9:$G$761,"BUD.10.",'2 stopień 20_21'!$K$9:$K$761,"CKZ Krotoszyn")</f>
        <v>0</v>
      </c>
      <c r="V16" s="104">
        <f>SUMIFS('2 stopień 20_21'!$I$9:$I$761,'2 stopień 20_21'!$G$9:$G$761,"BUD.10.",'2 stopień 20_21'!$K$9:$K$761,"CKZ Olkusz")</f>
        <v>0</v>
      </c>
      <c r="W16" s="104">
        <f>SUMIFS('2 stopień 20_21'!$I$9:$I$761,'2 stopień 20_21'!$G$9:$G$761,"BUD.10.",'2 stopień 20_21'!$K$9:$K$761,"CKZ Wschowa")</f>
        <v>4</v>
      </c>
      <c r="X16" s="104">
        <f>SUMIFS('2 stopień 20_21'!$I$9:$I$761,'2 stopień 20_21'!$G$9:$G$761,"BUD.10.",'2 stopień 20_21'!$K$9:$K$761,"CKZ Zielona Góra")</f>
        <v>0</v>
      </c>
      <c r="Y16" s="104">
        <f>SUMIFS('2 stopień 20_21'!$I$9:$I$761,'2 stopień 20_21'!$G$9:$G$761,"BUD.10.",'2 stopień 20_21'!$K$9:$K$761,"Rzemieślnicza Wałbrzych")</f>
        <v>0</v>
      </c>
      <c r="Z16" s="104">
        <f>SUMIFS('2 stopień 20_21'!$I$9:$I$761,'2 stopień 20_21'!$G$9:$G$761,"BUD.10.",'2 stopień 20_21'!$K$9:$K$761,"CKZ Mosina")</f>
        <v>0</v>
      </c>
      <c r="AA16" s="104">
        <f>SUMIFS('2 stopień 20_21'!$I$9:$I$761,'2 stopień 20_21'!$G$9:$G$761,"BUD.10.",'2 stopień 20_21'!$K$9:$K$761,"CKZ Słupsk")</f>
        <v>0</v>
      </c>
      <c r="AB16" s="104">
        <f>SUMIFS('2 stopień 20_21'!$I$9:$I$761,'2 stopień 20_21'!$G$9:$G$761,"BUD.10.",'2 stopień 20_21'!$K$9:$K$761,"CKZ Opole")</f>
        <v>0</v>
      </c>
      <c r="AC16" s="104">
        <f>SUMIFS('2 stopień 20_21'!$I$9:$I$761,'2 stopień 20_21'!$G$9:$G$761,"BUD.10.",'2 stopień 20_21'!$K$9:$K$761,"CKZ Wrocław")</f>
        <v>0</v>
      </c>
      <c r="AD16" s="104">
        <f>SUMIFS('2 stopień 20_21'!$I$9:$I$761,'2 stopień 20_21'!$G$9:$G$761,"BUD.10.",'2 stopień 20_21'!$K$9:$K$761,"Brzeg Dolny")</f>
        <v>0</v>
      </c>
      <c r="AE16" s="104">
        <f>SUMIFS('2 stopień 20_21'!$I$9:$I$761,'2 stopień 20_21'!$G$9:$G$761,"BUD.10.",'2 stopień 20_21'!$K$9:$K$761,"")</f>
        <v>0</v>
      </c>
      <c r="AF16" s="105">
        <f t="shared" si="0"/>
        <v>4</v>
      </c>
    </row>
    <row r="17" spans="2:32">
      <c r="B17" s="106" t="s">
        <v>220</v>
      </c>
      <c r="C17" s="107">
        <v>712905</v>
      </c>
      <c r="D17" s="107" t="s">
        <v>67</v>
      </c>
      <c r="E17" s="106" t="s">
        <v>689</v>
      </c>
      <c r="F17" s="103">
        <f>SUMIF('2 stopień 20_21'!G$9:G$761,"BUD.11.",'2 stopień 20_21'!I$9:I$761)</f>
        <v>25</v>
      </c>
      <c r="G17" s="104">
        <f>SUMIFS('2 stopień 20_21'!$I$9:$I$761,'2 stopień 20_21'!$G$9:$G$761,"BUD.11.",'2 stopień 20_21'!$K$9:$K$761,"CKZ Bielawa")</f>
        <v>0</v>
      </c>
      <c r="H17" s="104">
        <f>SUMIFS('2 stopień 20_21'!$I$9:$I$761,'2 stopień 20_21'!$G$9:$G$761,"BUD.11.",'2 stopień 20_21'!$K$9:$K$761,"GCKZ Głogów")</f>
        <v>0</v>
      </c>
      <c r="I17" s="104">
        <f>SUMIFS('2 stopień 20_21'!$I$9:$I$761,'2 stopień 20_21'!$G$9:$G$761,"BUD.11.",'2 stopień 20_21'!$K$9:$K$761,"CKZ Jawor")</f>
        <v>0</v>
      </c>
      <c r="J17" s="104">
        <f>SUMIFS('2 stopień 20_21'!$I$9:$I$761,'2 stopień 20_21'!$G$9:$G$761,"BUD.11.",'2 stopień 20_21'!$K$9:$K$761,"JCKZ Jelenia Góra")</f>
        <v>0</v>
      </c>
      <c r="K17" s="104">
        <f>SUMIFS('2 stopień 20_21'!$I$9:$I$761,'2 stopień 20_21'!$G$9:$G$761,"BUD.11.",'2 stopień 20_21'!$K$9:$K$761,"CKZ Kłodzko")</f>
        <v>0</v>
      </c>
      <c r="L17" s="104">
        <f>SUMIFS('2 stopień 20_21'!$I$9:$I$761,'2 stopień 20_21'!$G$9:$G$761,"BUD.11.",'2 stopień 20_21'!$K$9:$K$761,"CKZ Legnica")</f>
        <v>0</v>
      </c>
      <c r="M17" s="104">
        <f>SUMIFS('2 stopień 20_21'!$I$9:$I$761,'2 stopień 20_21'!$G$9:$G$761,"BUD.11.",'2 stopień 20_21'!$K$9:$K$761,"CKZ Oleśnica")</f>
        <v>0</v>
      </c>
      <c r="N17" s="104">
        <f>SUMIFS('2 stopień 20_21'!$I$9:$I$761,'2 stopień 20_21'!$G$9:$G$761,"BUD.11.",'2 stopień 20_21'!$K$9:$K$761,"CKZ Świdnica")</f>
        <v>0</v>
      </c>
      <c r="O17" s="104">
        <f>SUMIFS('2 stopień 20_21'!$I$9:$I$761,'2 stopień 20_21'!$G$9:$G$761,"BUD.11.",'2 stopień 20_21'!$K$9:$K$761,"CKZ Wołów")</f>
        <v>0</v>
      </c>
      <c r="P17" s="104">
        <f>SUMIFS('2 stopień 20_21'!$I$9:$I$761,'2 stopień 20_21'!$G$9:$G$761,"BUD.11.",'2 stopień 20_21'!$K$9:$K$761,"CKZ Ziębice")</f>
        <v>0</v>
      </c>
      <c r="Q17" s="104">
        <f>SUMIFS('2 stopień 20_21'!$I$9:$I$761,'2 stopień 20_21'!$G$9:$G$761,"BUD.11.",'2 stopień 20_21'!$K$9:$K$761,"CKZ Dobrodzień")</f>
        <v>0</v>
      </c>
      <c r="R17" s="104">
        <f>SUMIFS('2 stopień 20_21'!$I$9:$I$761,'2 stopień 20_21'!$G$9:$G$761,"BUD.11.",'2 stopień 20_21'!$K$9:$K$761,"CKZ Głubczyce")</f>
        <v>0</v>
      </c>
      <c r="S17" s="104">
        <f>SUMIFS('2 stopień 20_21'!$I$9:$I$761,'2 stopień 20_21'!$G$9:$G$761,"BUD.11.",'2 stopień 20_21'!$K$9:$K$761,"CKZ Kędzierzyn Koźle")</f>
        <v>0</v>
      </c>
      <c r="T17" s="104">
        <f>SUMIFS('2 stopień 20_21'!$I$9:$I$761,'2 stopień 20_21'!$G$9:$G$761,"BUD.11.",'2 stopień 20_21'!$K$9:$K$761,"CKZ Kluczbork")</f>
        <v>0</v>
      </c>
      <c r="U17" s="104">
        <f>SUMIFS('2 stopień 20_21'!$I$9:$I$761,'2 stopień 20_21'!$G$9:$G$761,"BUD.11.",'2 stopień 20_21'!$K$9:$K$761,"CKZ Krotoszyn")</f>
        <v>2</v>
      </c>
      <c r="V17" s="104">
        <f>SUMIFS('2 stopień 20_21'!$I$9:$I$761,'2 stopień 20_21'!$G$9:$G$761,"BUD.11.",'2 stopień 20_21'!$K$9:$K$761,"CKZ Olkusz")</f>
        <v>0</v>
      </c>
      <c r="W17" s="104">
        <f>SUMIFS('2 stopień 20_21'!$I$9:$I$761,'2 stopień 20_21'!$G$9:$G$761,"BUD.11.",'2 stopień 20_21'!$K$9:$K$761,"CKZ Wschowa")</f>
        <v>14</v>
      </c>
      <c r="X17" s="104">
        <f>SUMIFS('2 stopień 20_21'!$I$9:$I$761,'2 stopień 20_21'!$G$9:$G$761,"BUD.11.",'2 stopień 20_21'!$K$9:$K$761,"CKZ Zielona Góra")</f>
        <v>5</v>
      </c>
      <c r="Y17" s="104">
        <f>SUMIFS('2 stopień 20_21'!$I$9:$I$761,'2 stopień 20_21'!$G$9:$G$761,"BUD.11.",'2 stopień 20_21'!$K$9:$K$761,"Rzemieślnicza Wałbrzych")</f>
        <v>4</v>
      </c>
      <c r="Z17" s="104">
        <f>SUMIFS('2 stopień 20_21'!$I$9:$I$761,'2 stopień 20_21'!$G$9:$G$761,"BUD.11.",'2 stopień 20_21'!$K$9:$K$761,"CKZ Mosina")</f>
        <v>0</v>
      </c>
      <c r="AA17" s="104">
        <f>SUMIFS('2 stopień 20_21'!$I$9:$I$761,'2 stopień 20_21'!$G$9:$G$761,"BUD.11.",'2 stopień 20_21'!$K$9:$K$761,"CKZ Słupsk")</f>
        <v>0</v>
      </c>
      <c r="AB17" s="104">
        <f>SUMIFS('2 stopień 20_21'!$I$9:$I$761,'2 stopień 20_21'!$G$9:$G$761,"BUD.11.",'2 stopień 20_21'!$K$9:$K$761,"CKZ Opole")</f>
        <v>0</v>
      </c>
      <c r="AC17" s="104">
        <f>SUMIFS('2 stopień 20_21'!$I$9:$I$761,'2 stopień 20_21'!$G$9:$G$761,"BUD.11.",'2 stopień 20_21'!$K$9:$K$761,"CKZ Wrocław")</f>
        <v>0</v>
      </c>
      <c r="AD17" s="104">
        <f>SUMIFS('2 stopień 20_21'!$I$9:$I$761,'2 stopień 20_21'!$G$9:$G$761,"BUD.11.",'2 stopień 20_21'!$K$9:$K$761,"Brzeg Dolny")</f>
        <v>0</v>
      </c>
      <c r="AE17" s="104">
        <f>SUMIFS('2 stopień 20_21'!$I$9:$I$761,'2 stopień 20_21'!$G$9:$G$761,"BUD.11.",'2 stopień 20_21'!$K$9:$K$761,"")</f>
        <v>0</v>
      </c>
      <c r="AF17" s="105">
        <f t="shared" si="0"/>
        <v>25</v>
      </c>
    </row>
    <row r="18" spans="2:32">
      <c r="B18" s="106" t="s">
        <v>243</v>
      </c>
      <c r="C18" s="107">
        <v>711204</v>
      </c>
      <c r="D18" s="107" t="s">
        <v>106</v>
      </c>
      <c r="E18" s="106" t="s">
        <v>690</v>
      </c>
      <c r="F18" s="103">
        <f>SUMIF('2 stopień 20_21'!G$9:G$761,"BUD.12.",'2 stopień 20_21'!I$9:I$761)</f>
        <v>34</v>
      </c>
      <c r="G18" s="104">
        <f>SUMIFS('2 stopień 20_21'!$I$9:$I$761,'2 stopień 20_21'!$G$9:$G$761,"BUD.12.",'2 stopień 20_21'!$K$9:$K$761,"CKZ Bielawa")</f>
        <v>0</v>
      </c>
      <c r="H18" s="104">
        <f>SUMIFS('2 stopień 20_21'!$I$9:$I$761,'2 stopień 20_21'!$G$9:$G$761,"BUD.12.",'2 stopień 20_21'!$K$9:$K$761,"GCKZ Głogów")</f>
        <v>0</v>
      </c>
      <c r="I18" s="104">
        <f>SUMIFS('2 stopień 20_21'!$I$9:$I$761,'2 stopień 20_21'!$G$9:$G$761,"BUD.12.",'2 stopień 20_21'!$K$9:$K$761,"CKZ Jawor")</f>
        <v>0</v>
      </c>
      <c r="J18" s="104">
        <f>SUMIFS('2 stopień 20_21'!$I$9:$I$761,'2 stopień 20_21'!$G$9:$G$761,"BUD.12.",'2 stopień 20_21'!$K$9:$K$761,"JCKZ Jelenia Góra")</f>
        <v>0</v>
      </c>
      <c r="K18" s="104">
        <f>SUMIFS('2 stopień 20_21'!$I$9:$I$761,'2 stopień 20_21'!$G$9:$G$761,"BUD.12.",'2 stopień 20_21'!$K$9:$K$761,"CKZ Kłodzko")</f>
        <v>0</v>
      </c>
      <c r="L18" s="104">
        <f>SUMIFS('2 stopień 20_21'!$I$9:$I$761,'2 stopień 20_21'!$G$9:$G$761,"BUD.12.",'2 stopień 20_21'!$K$9:$K$761,"CKZ Legnica")</f>
        <v>0</v>
      </c>
      <c r="M18" s="104">
        <f>SUMIFS('2 stopień 20_21'!$I$9:$I$761,'2 stopień 20_21'!$G$9:$G$761,"BUD.12.",'2 stopień 20_21'!$K$9:$K$761,"CKZ Oleśnica")</f>
        <v>0</v>
      </c>
      <c r="N18" s="104">
        <f>SUMIFS('2 stopień 20_21'!$I$9:$I$761,'2 stopień 20_21'!$G$9:$G$761,"BUD.12.",'2 stopień 20_21'!$K$9:$K$761,"CKZ Świdnica")</f>
        <v>24</v>
      </c>
      <c r="O18" s="104">
        <f>SUMIFS('2 stopień 20_21'!$I$9:$I$761,'2 stopień 20_21'!$G$9:$G$761,"BUD.12.",'2 stopień 20_21'!$K$9:$K$761,"CKZ Wołów")</f>
        <v>0</v>
      </c>
      <c r="P18" s="104">
        <f>SUMIFS('2 stopień 20_21'!$I$9:$I$761,'2 stopień 20_21'!$G$9:$G$761,"BUD.12.",'2 stopień 20_21'!$K$9:$K$761,"CKZ Ziębice")</f>
        <v>0</v>
      </c>
      <c r="Q18" s="104">
        <f>SUMIFS('2 stopień 20_21'!$I$9:$I$761,'2 stopień 20_21'!$G$9:$G$761,"BUD.12.",'2 stopień 20_21'!$K$9:$K$761,"CKZ Dobrodzień")</f>
        <v>0</v>
      </c>
      <c r="R18" s="104">
        <f>SUMIFS('2 stopień 20_21'!$I$9:$I$761,'2 stopień 20_21'!$G$9:$G$761,"BUD.12.",'2 stopień 20_21'!$K$9:$K$761,"CKZ Głubczyce")</f>
        <v>0</v>
      </c>
      <c r="S18" s="104">
        <f>SUMIFS('2 stopień 20_21'!$I$9:$I$761,'2 stopień 20_21'!$G$9:$G$761,"BUD.12.",'2 stopień 20_21'!$K$9:$K$761,"CKZ Kędzierzyn Koźle")</f>
        <v>0</v>
      </c>
      <c r="T18" s="104">
        <f>SUMIFS('2 stopień 20_21'!$I$9:$I$761,'2 stopień 20_21'!$G$9:$G$761,"BUD.12.",'2 stopień 20_21'!$K$9:$K$761,"CKZ Kluczbork")</f>
        <v>0</v>
      </c>
      <c r="U18" s="104">
        <f>SUMIFS('2 stopień 20_21'!$I$9:$I$761,'2 stopień 20_21'!$G$9:$G$761,"BUD.12.",'2 stopień 20_21'!$K$9:$K$761,"CKZ Krotoszyn")</f>
        <v>1</v>
      </c>
      <c r="V18" s="104">
        <f>SUMIFS('2 stopień 20_21'!$I$9:$I$761,'2 stopień 20_21'!$G$9:$G$761,"BUD.12.",'2 stopień 20_21'!$K$9:$K$761,"CKZ Olkusz")</f>
        <v>0</v>
      </c>
      <c r="W18" s="104">
        <f>SUMIFS('2 stopień 20_21'!$I$9:$I$761,'2 stopień 20_21'!$G$9:$G$761,"BUD.12.",'2 stopień 20_21'!$K$9:$K$761,"CKZ Wschowa")</f>
        <v>9</v>
      </c>
      <c r="X18" s="104">
        <f>SUMIFS('2 stopień 20_21'!$I$9:$I$761,'2 stopień 20_21'!$G$9:$G$761,"BUD.12.",'2 stopień 20_21'!$K$9:$K$761,"CKZ Zielona Góra")</f>
        <v>0</v>
      </c>
      <c r="Y18" s="104">
        <f>SUMIFS('2 stopień 20_21'!$I$9:$I$761,'2 stopień 20_21'!$G$9:$G$761,"BUD.12.",'2 stopień 20_21'!$K$9:$K$761,"Rzemieślnicza Wałbrzych")</f>
        <v>0</v>
      </c>
      <c r="Z18" s="104">
        <f>SUMIFS('2 stopień 20_21'!$I$9:$I$761,'2 stopień 20_21'!$G$9:$G$761,"BUD.12.",'2 stopień 20_21'!$K$9:$K$761,"CKZ Mosina")</f>
        <v>0</v>
      </c>
      <c r="AA18" s="104">
        <f>SUMIFS('2 stopień 20_21'!$I$9:$I$761,'2 stopień 20_21'!$G$9:$G$761,"BUD.12.",'2 stopień 20_21'!$K$9:$K$761,"CKZ Słupsk")</f>
        <v>0</v>
      </c>
      <c r="AB18" s="104">
        <f>SUMIFS('2 stopień 20_21'!$I$9:$I$761,'2 stopień 20_21'!$G$9:$G$761,"BUD.12.",'2 stopień 20_21'!$K$9:$K$761,"CKZ Opole")</f>
        <v>0</v>
      </c>
      <c r="AC18" s="104">
        <f>SUMIFS('2 stopień 20_21'!$I$9:$I$761,'2 stopień 20_21'!$G$9:$G$761,"BUD.12.",'2 stopień 20_21'!$K$9:$K$761,"CKZ Wrocław")</f>
        <v>0</v>
      </c>
      <c r="AD18" s="104">
        <f>SUMIFS('2 stopień 20_21'!$I$9:$I$761,'2 stopień 20_21'!$G$9:$G$761,"BUD.12.",'2 stopień 20_21'!$K$9:$K$761,"Brzeg Dolny")</f>
        <v>0</v>
      </c>
      <c r="AE18" s="104">
        <f>SUMIFS('2 stopień 20_21'!$I$9:$I$761,'2 stopień 20_21'!$G$9:$G$761,"BUD.12.",'2 stopień 20_21'!$K$9:$K$761,"")</f>
        <v>0</v>
      </c>
      <c r="AF18" s="105">
        <f t="shared" si="0"/>
        <v>34</v>
      </c>
    </row>
    <row r="19" spans="2:32">
      <c r="B19" s="106" t="s">
        <v>600</v>
      </c>
      <c r="C19" s="107">
        <v>834209</v>
      </c>
      <c r="D19" s="107" t="s">
        <v>692</v>
      </c>
      <c r="E19" s="106" t="s">
        <v>691</v>
      </c>
      <c r="F19" s="103">
        <f>SUMIF('2 stopień 20_21'!G$9:G$761,"BUD.13.",'2 stopień 20_21'!I$9:I$761)</f>
        <v>0</v>
      </c>
      <c r="G19" s="104">
        <f>SUMIFS('2 stopień 20_21'!$I$9:$I$761,'2 stopień 20_21'!$G$9:$G$761,"BUD.13.",'2 stopień 20_21'!$K$9:$K$761,"CKZ Bielawa")</f>
        <v>0</v>
      </c>
      <c r="H19" s="104">
        <f>SUMIFS('2 stopień 20_21'!$I$9:$I$761,'2 stopień 20_21'!$G$9:$G$761,"BUD.13.",'2 stopień 20_21'!$K$9:$K$761,"GCKZ Głogów")</f>
        <v>0</v>
      </c>
      <c r="I19" s="104">
        <f>SUMIFS('2 stopień 20_21'!$I$9:$I$761,'2 stopień 20_21'!$G$9:$G$761,"BUD.13.",'2 stopień 20_21'!$K$9:$K$761,"CKZ Jawor")</f>
        <v>0</v>
      </c>
      <c r="J19" s="104">
        <f>SUMIFS('2 stopień 20_21'!$I$9:$I$761,'2 stopień 20_21'!$G$9:$G$761,"BUD.13.",'2 stopień 20_21'!$K$9:$K$761,"JCKZ Jelenia Góra")</f>
        <v>0</v>
      </c>
      <c r="K19" s="104">
        <f>SUMIFS('2 stopień 20_21'!$I$9:$I$761,'2 stopień 20_21'!$G$9:$G$761,"BUD.13.",'2 stopień 20_21'!$K$9:$K$761,"CKZ Kłodzko")</f>
        <v>0</v>
      </c>
      <c r="L19" s="104">
        <f>SUMIFS('2 stopień 20_21'!$I$9:$I$761,'2 stopień 20_21'!$G$9:$G$761,"BUD.13.",'2 stopień 20_21'!$K$9:$K$761,"CKZ Legnica")</f>
        <v>0</v>
      </c>
      <c r="M19" s="104">
        <f>SUMIFS('2 stopień 20_21'!$I$9:$I$761,'2 stopień 20_21'!$G$9:$G$761,"BUD.13.",'2 stopień 20_21'!$K$9:$K$761,"CKZ Oleśnica")</f>
        <v>0</v>
      </c>
      <c r="N19" s="104">
        <f>SUMIFS('2 stopień 20_21'!$I$9:$I$761,'2 stopień 20_21'!$G$9:$G$761,"BUD.13.",'2 stopień 20_21'!$K$9:$K$761,"CKZ Świdnica")</f>
        <v>0</v>
      </c>
      <c r="O19" s="104">
        <f>SUMIFS('2 stopień 20_21'!$I$9:$I$761,'2 stopień 20_21'!$G$9:$G$761,"BUD.13.",'2 stopień 20_21'!$K$9:$K$761,"CKZ Wołów")</f>
        <v>0</v>
      </c>
      <c r="P19" s="104">
        <f>SUMIFS('2 stopień 20_21'!$I$9:$I$761,'2 stopień 20_21'!$G$9:$G$761,"BUD.13.",'2 stopień 20_21'!$K$9:$K$761,"CKZ Ziębice")</f>
        <v>0</v>
      </c>
      <c r="Q19" s="104">
        <f>SUMIFS('2 stopień 20_21'!$I$9:$I$761,'2 stopień 20_21'!$G$9:$G$761,"BUD.13.",'2 stopień 20_21'!$K$9:$K$761,"CKZ Dobrodzień")</f>
        <v>0</v>
      </c>
      <c r="R19" s="104">
        <f>SUMIFS('2 stopień 20_21'!$I$9:$I$761,'2 stopień 20_21'!$G$9:$G$761,"BUD.13.",'2 stopień 20_21'!$K$9:$K$761,"CKZ Głubczyce")</f>
        <v>0</v>
      </c>
      <c r="S19" s="104">
        <f>SUMIFS('2 stopień 20_21'!$I$9:$I$761,'2 stopień 20_21'!$G$9:$G$761,"BUD.13.",'2 stopień 20_21'!$K$9:$K$761,"CKZ Kędzierzyn Koźle")</f>
        <v>0</v>
      </c>
      <c r="T19" s="104">
        <f>SUMIFS('2 stopień 20_21'!$I$9:$I$761,'2 stopień 20_21'!$G$9:$G$761,"BUD.13.",'2 stopień 20_21'!$K$9:$K$761,"CKZ Kluczbork")</f>
        <v>0</v>
      </c>
      <c r="U19" s="104">
        <f>SUMIFS('2 stopień 20_21'!$I$9:$I$761,'2 stopień 20_21'!$G$9:$G$761,"BUD.13.",'2 stopień 20_21'!$K$9:$K$761,"CKZ Krotoszyn")</f>
        <v>0</v>
      </c>
      <c r="V19" s="104">
        <f>SUMIFS('2 stopień 20_21'!$I$9:$I$761,'2 stopień 20_21'!$G$9:$G$761,"BUD.13.",'2 stopień 20_21'!$K$9:$K$761,"CKZ Olkusz")</f>
        <v>0</v>
      </c>
      <c r="W19" s="104">
        <f>SUMIFS('2 stopień 20_21'!$I$9:$I$761,'2 stopień 20_21'!$G$9:$G$761,"BUD.13.",'2 stopień 20_21'!$K$9:$K$761,"CKZ Wschowa")</f>
        <v>0</v>
      </c>
      <c r="X19" s="104">
        <f>SUMIFS('2 stopień 20_21'!$I$9:$I$761,'2 stopień 20_21'!$G$9:$G$761,"BUD.13.",'2 stopień 20_21'!$K$9:$K$761,"CKZ Zielona Góra")</f>
        <v>0</v>
      </c>
      <c r="Y19" s="104">
        <f>SUMIFS('2 stopień 20_21'!$I$9:$I$761,'2 stopień 20_21'!$G$9:$G$761,"BUD.13.",'2 stopień 20_21'!$K$9:$K$761,"Rzemieślnicza Wałbrzych")</f>
        <v>0</v>
      </c>
      <c r="Z19" s="104">
        <f>SUMIFS('2 stopień 20_21'!$I$9:$I$761,'2 stopień 20_21'!$G$9:$G$761,"BUD.13.",'2 stopień 20_21'!$K$9:$K$761,"CKZ Mosina")</f>
        <v>0</v>
      </c>
      <c r="AA19" s="104">
        <f>SUMIFS('2 stopień 20_21'!$I$9:$I$761,'2 stopień 20_21'!$G$9:$G$761,"BUD.13.",'2 stopień 20_21'!$K$9:$K$761,"CKZ Słupsk")</f>
        <v>0</v>
      </c>
      <c r="AB19" s="104">
        <f>SUMIFS('2 stopień 20_21'!$I$9:$I$761,'2 stopień 20_21'!$G$9:$G$761,"BUD.13.",'2 stopień 20_21'!$K$9:$K$761,"CKZ Opole")</f>
        <v>0</v>
      </c>
      <c r="AC19" s="104">
        <f>SUMIFS('2 stopień 20_21'!$I$9:$I$761,'2 stopień 20_21'!$G$9:$G$761,"BUD.13.",'2 stopień 20_21'!$K$9:$K$761,"CKZ Wrocław")</f>
        <v>0</v>
      </c>
      <c r="AD19" s="104">
        <f>SUMIFS('2 stopień 20_21'!$I$9:$I$761,'2 stopień 20_21'!$G$9:$G$761,"BUD.13.",'2 stopień 20_21'!$K$9:$K$761,"Brzeg Dolny")</f>
        <v>0</v>
      </c>
      <c r="AE19" s="104">
        <f>SUMIFS('2 stopień 20_21'!$I$9:$I$761,'2 stopień 20_21'!$G$9:$G$761,"BUD.13.",'2 stopień 20_21'!$K$9:$K$761,"")</f>
        <v>0</v>
      </c>
      <c r="AF19" s="105">
        <f t="shared" si="0"/>
        <v>0</v>
      </c>
    </row>
    <row r="20" spans="2:32">
      <c r="B20" s="106" t="s">
        <v>601</v>
      </c>
      <c r="C20" s="107">
        <v>711203</v>
      </c>
      <c r="D20" s="107" t="s">
        <v>694</v>
      </c>
      <c r="E20" s="106" t="s">
        <v>693</v>
      </c>
      <c r="F20" s="103">
        <f>SUMIF('2 stopień 20_21'!G$9:G$761,"BUD.26.",'2 stopień 20_21'!I$9:I$761)</f>
        <v>0</v>
      </c>
      <c r="G20" s="104">
        <f>SUMIFS('2 stopień 20_21'!$I$9:$I$761,'2 stopień 20_21'!$G$9:$G$761,"BUD.26.",'2 stopień 20_21'!$K$9:$K$761,"CKZ Bielawa")</f>
        <v>0</v>
      </c>
      <c r="H20" s="104">
        <f>SUMIFS('2 stopień 20_21'!$I$9:$I$761,'2 stopień 20_21'!$G$9:$G$761,"BUD.26.",'2 stopień 20_21'!$K$9:$K$761,"GCKZ Głogów")</f>
        <v>0</v>
      </c>
      <c r="I20" s="104">
        <f>SUMIFS('2 stopień 20_21'!$I$9:$I$761,'2 stopień 20_21'!$G$9:$G$761,"BUD.26.",'2 stopień 20_21'!$K$9:$K$761,"CKZ Jawor")</f>
        <v>0</v>
      </c>
      <c r="J20" s="104">
        <f>SUMIFS('2 stopień 20_21'!$I$9:$I$761,'2 stopień 20_21'!$G$9:$G$761,"BUD.26.",'2 stopień 20_21'!$K$9:$K$761,"JCKZ Jelenia Góra")</f>
        <v>0</v>
      </c>
      <c r="K20" s="104">
        <f>SUMIFS('2 stopień 20_21'!$I$9:$I$761,'2 stopień 20_21'!$G$9:$G$761,"BUD.26.",'2 stopień 20_21'!$K$9:$K$761,"CKZ Kłodzko")</f>
        <v>0</v>
      </c>
      <c r="L20" s="104">
        <f>SUMIFS('2 stopień 20_21'!$I$9:$I$761,'2 stopień 20_21'!$G$9:$G$761,"BUD.26.",'2 stopień 20_21'!$K$9:$K$761,"CKZ Legnica")</f>
        <v>0</v>
      </c>
      <c r="M20" s="104">
        <f>SUMIFS('2 stopień 20_21'!$I$9:$I$761,'2 stopień 20_21'!$G$9:$G$761,"BUD.26.",'2 stopień 20_21'!$K$9:$K$761,"CKZ Oleśnica")</f>
        <v>0</v>
      </c>
      <c r="N20" s="104">
        <f>SUMIFS('2 stopień 20_21'!$I$9:$I$761,'2 stopień 20_21'!$G$9:$G$761,"BUD.26.",'2 stopień 20_21'!$K$9:$K$761,"CKZ Świdnica")</f>
        <v>0</v>
      </c>
      <c r="O20" s="104">
        <f>SUMIFS('2 stopień 20_21'!$I$9:$I$761,'2 stopień 20_21'!$G$9:$G$761,"BUD.26.",'2 stopień 20_21'!$K$9:$K$761,"CKZ Wołów")</f>
        <v>0</v>
      </c>
      <c r="P20" s="104">
        <f>SUMIFS('2 stopień 20_21'!$I$9:$I$761,'2 stopień 20_21'!$G$9:$G$761,"BUD.26.",'2 stopień 20_21'!$K$9:$K$761,"CKZ Ziębice")</f>
        <v>0</v>
      </c>
      <c r="Q20" s="104">
        <f>SUMIFS('2 stopień 20_21'!$I$9:$I$761,'2 stopień 20_21'!$G$9:$G$761,"BUD.26.",'2 stopień 20_21'!$K$9:$K$761,"CKZ Dobrodzień")</f>
        <v>0</v>
      </c>
      <c r="R20" s="104">
        <f>SUMIFS('2 stopień 20_21'!$I$9:$I$761,'2 stopień 20_21'!$G$9:$G$761,"BUD.26.",'2 stopień 20_21'!$K$9:$K$761,"CKZ Głubczyce")</f>
        <v>0</v>
      </c>
      <c r="S20" s="104">
        <f>SUMIFS('2 stopień 20_21'!$I$9:$I$761,'2 stopień 20_21'!$G$9:$G$761,"BUD.26.",'2 stopień 20_21'!$K$9:$K$761,"CKZ Kędzierzyn Koźle")</f>
        <v>0</v>
      </c>
      <c r="T20" s="104">
        <f>SUMIFS('2 stopień 20_21'!$I$9:$I$761,'2 stopień 20_21'!$G$9:$G$761,"BUD.26.",'2 stopień 20_21'!$K$9:$K$761,"CKZ Kluczbork")</f>
        <v>0</v>
      </c>
      <c r="U20" s="104">
        <f>SUMIFS('2 stopień 20_21'!$I$9:$I$761,'2 stopień 20_21'!$G$9:$G$761,"BUD.26.",'2 stopień 20_21'!$K$9:$K$761,"CKZ Krotoszyn")</f>
        <v>0</v>
      </c>
      <c r="V20" s="104">
        <f>SUMIFS('2 stopień 20_21'!$I$9:$I$761,'2 stopień 20_21'!$G$9:$G$761,"BUD.26.",'2 stopień 20_21'!$K$9:$K$761,"CKZ Olkusz")</f>
        <v>0</v>
      </c>
      <c r="W20" s="104">
        <f>SUMIFS('2 stopień 20_21'!$I$9:$I$761,'2 stopień 20_21'!$G$9:$G$761,"BUD.26.",'2 stopień 20_21'!$K$9:$K$761,"CKZ Wschowa")</f>
        <v>0</v>
      </c>
      <c r="X20" s="104">
        <f>SUMIFS('2 stopień 20_21'!$I$9:$I$761,'2 stopień 20_21'!$G$9:$G$761,"BUD.26.",'2 stopień 20_21'!$K$9:$K$761,"CKZ Zielona Góra")</f>
        <v>0</v>
      </c>
      <c r="Y20" s="104">
        <f>SUMIFS('2 stopień 20_21'!$I$9:$I$761,'2 stopień 20_21'!$G$9:$G$761,"BUD.26.",'2 stopień 20_21'!$K$9:$K$761,"Rzemieślnicza Wałbrzych")</f>
        <v>0</v>
      </c>
      <c r="Z20" s="104">
        <f>SUMIFS('2 stopień 20_21'!$I$9:$I$761,'2 stopień 20_21'!$G$9:$G$761,"BUD.26.",'2 stopień 20_21'!$K$9:$K$761,"CKZ Mosina")</f>
        <v>0</v>
      </c>
      <c r="AA20" s="104">
        <f>SUMIFS('2 stopień 20_21'!$I$9:$I$761,'2 stopień 20_21'!$G$9:$G$761,"BUD.26.",'2 stopień 20_21'!$K$9:$K$761,"CKZ Słupsk")</f>
        <v>0</v>
      </c>
      <c r="AB20" s="104">
        <f>SUMIFS('2 stopień 20_21'!$I$9:$I$761,'2 stopień 20_21'!$G$9:$G$761,"BUD.26.",'2 stopień 20_21'!$K$9:$K$761,"CKZ Opole")</f>
        <v>0</v>
      </c>
      <c r="AC20" s="104">
        <f>SUMIFS('2 stopień 20_21'!$I$9:$I$761,'2 stopień 20_21'!$G$9:$G$761,"BUD.26.",'2 stopień 20_21'!$K$9:$K$761,"CKZ Wrocław")</f>
        <v>0</v>
      </c>
      <c r="AD20" s="104">
        <f>SUMIFS('2 stopień 20_21'!$I$9:$I$761,'2 stopień 20_21'!$G$9:$G$761,"BUD.26.",'2 stopień 20_21'!$K$9:$K$761,"Brzeg Dolny")</f>
        <v>0</v>
      </c>
      <c r="AE20" s="104">
        <f>SUMIFS('2 stopień 20_21'!$I$9:$I$761,'2 stopień 20_21'!$G$9:$G$761,"BUD.26.",'2 stopień 20_21'!$K$9:$K$761,"")</f>
        <v>0</v>
      </c>
      <c r="AF20" s="105">
        <f t="shared" si="0"/>
        <v>0</v>
      </c>
    </row>
    <row r="21" spans="2:32">
      <c r="B21" s="106" t="s">
        <v>602</v>
      </c>
      <c r="C21" s="107">
        <v>818115</v>
      </c>
      <c r="D21" s="107" t="s">
        <v>696</v>
      </c>
      <c r="E21" s="106" t="s">
        <v>695</v>
      </c>
      <c r="F21" s="103">
        <f>SUMIF('2 stopień 20_21'!G$9:G$761,"CES.01.",'2 stopień 20_21'!I$9:I$761)</f>
        <v>0</v>
      </c>
      <c r="G21" s="104">
        <f>SUMIFS('2 stopień 20_21'!$I$9:$I$761,'2 stopień 20_21'!$G$9:$G$761,"CES.01.",'2 stopień 20_21'!$K$9:$K$761,"CKZ Bielawa")</f>
        <v>0</v>
      </c>
      <c r="H21" s="104">
        <f>SUMIFS('2 stopień 20_21'!$I$9:$I$761,'2 stopień 20_21'!$G$9:$G$761,"CES.01.",'2 stopień 20_21'!$K$9:$K$761,"GCKZ Głogów")</f>
        <v>0</v>
      </c>
      <c r="I21" s="104">
        <f>SUMIFS('2 stopień 20_21'!$I$9:$I$761,'2 stopień 20_21'!$G$9:$G$761,"CES.01.",'2 stopień 20_21'!$K$9:$K$761,"CKZ Jawor")</f>
        <v>0</v>
      </c>
      <c r="J21" s="104">
        <f>SUMIFS('2 stopień 20_21'!$I$9:$I$761,'2 stopień 20_21'!$G$9:$G$761,"CES.01.",'2 stopień 20_21'!$K$9:$K$761,"JCKZ Jelenia Góra")</f>
        <v>0</v>
      </c>
      <c r="K21" s="104">
        <f>SUMIFS('2 stopień 20_21'!$I$9:$I$761,'2 stopień 20_21'!$G$9:$G$761,"CES.01.",'2 stopień 20_21'!$K$9:$K$761,"CKZ Kłodzko")</f>
        <v>0</v>
      </c>
      <c r="L21" s="104">
        <f>SUMIFS('2 stopień 20_21'!$I$9:$I$761,'2 stopień 20_21'!$G$9:$G$761,"CES.01.",'2 stopień 20_21'!$K$9:$K$761,"CKZ Legnica")</f>
        <v>0</v>
      </c>
      <c r="M21" s="104">
        <f>SUMIFS('2 stopień 20_21'!$I$9:$I$761,'2 stopień 20_21'!$G$9:$G$761,"CES.01.",'2 stopień 20_21'!$K$9:$K$761,"CKZ Oleśnica")</f>
        <v>0</v>
      </c>
      <c r="N21" s="104">
        <f>SUMIFS('2 stopień 20_21'!$I$9:$I$761,'2 stopień 20_21'!$G$9:$G$761,"CES.01.",'2 stopień 20_21'!$K$9:$K$761,"CKZ Świdnica")</f>
        <v>0</v>
      </c>
      <c r="O21" s="104">
        <f>SUMIFS('2 stopień 20_21'!$I$9:$I$761,'2 stopień 20_21'!$G$9:$G$761,"CES.01.",'2 stopień 20_21'!$K$9:$K$761,"CKZ Wołów")</f>
        <v>0</v>
      </c>
      <c r="P21" s="104">
        <f>SUMIFS('2 stopień 20_21'!$I$9:$I$761,'2 stopień 20_21'!$G$9:$G$761,"CES.01.",'2 stopień 20_21'!$K$9:$K$761,"CKZ Ziębice")</f>
        <v>0</v>
      </c>
      <c r="Q21" s="104">
        <f>SUMIFS('2 stopień 20_21'!$I$9:$I$761,'2 stopień 20_21'!$G$9:$G$761,"CES.01.",'2 stopień 20_21'!$K$9:$K$761,"CKZ Dobrodzień")</f>
        <v>0</v>
      </c>
      <c r="R21" s="104">
        <f>SUMIFS('2 stopień 20_21'!$I$9:$I$761,'2 stopień 20_21'!$G$9:$G$761,"CES.01.",'2 stopień 20_21'!$K$9:$K$761,"CKZ Głubczyce")</f>
        <v>0</v>
      </c>
      <c r="S21" s="104">
        <f>SUMIFS('2 stopień 20_21'!$I$9:$I$761,'2 stopień 20_21'!$G$9:$G$761,"CES.01.",'2 stopień 20_21'!$K$9:$K$761,"CKZ Kędzierzyn Koźle")</f>
        <v>0</v>
      </c>
      <c r="T21" s="104">
        <f>SUMIFS('2 stopień 20_21'!$I$9:$I$761,'2 stopień 20_21'!$G$9:$G$761,"CES.01.",'2 stopień 20_21'!$K$9:$K$761,"CKZ Kluczbork")</f>
        <v>0</v>
      </c>
      <c r="U21" s="104">
        <f>SUMIFS('2 stopień 20_21'!$I$9:$I$761,'2 stopień 20_21'!$G$9:$G$761,"CES.01.",'2 stopień 20_21'!$K$9:$K$761,"CKZ Krotoszyn")</f>
        <v>0</v>
      </c>
      <c r="V21" s="104">
        <f>SUMIFS('2 stopień 20_21'!$I$9:$I$761,'2 stopień 20_21'!$G$9:$G$761,"CES.01.",'2 stopień 20_21'!$K$9:$K$761,"CKZ Olkusz")</f>
        <v>0</v>
      </c>
      <c r="W21" s="104">
        <f>SUMIFS('2 stopień 20_21'!$I$9:$I$761,'2 stopień 20_21'!$G$9:$G$761,"CES.01.",'2 stopień 20_21'!$K$9:$K$761,"CKZ Wschowa")</f>
        <v>0</v>
      </c>
      <c r="X21" s="104">
        <f>SUMIFS('2 stopień 20_21'!$I$9:$I$761,'2 stopień 20_21'!$G$9:$G$761,"CES.01.",'2 stopień 20_21'!$K$9:$K$761,"CKZ Zielona Góra")</f>
        <v>0</v>
      </c>
      <c r="Y21" s="104">
        <f>SUMIFS('2 stopień 20_21'!$I$9:$I$761,'2 stopień 20_21'!$G$9:$G$761,"CES.01.",'2 stopień 20_21'!$K$9:$K$761,"Rzemieślnicza Wałbrzych")</f>
        <v>0</v>
      </c>
      <c r="Z21" s="104">
        <f>SUMIFS('2 stopień 20_21'!$I$9:$I$761,'2 stopień 20_21'!$G$9:$G$761,"CES.01.",'2 stopień 20_21'!$K$9:$K$761,"CKZ Mosina")</f>
        <v>0</v>
      </c>
      <c r="AA21" s="104">
        <f>SUMIFS('2 stopień 20_21'!$I$9:$I$761,'2 stopień 20_21'!$G$9:$G$761,"CES.01.",'2 stopień 20_21'!$K$9:$K$761,"CKZ Słupsk")</f>
        <v>0</v>
      </c>
      <c r="AB21" s="104">
        <f>SUMIFS('2 stopień 20_21'!$I$9:$I$761,'2 stopień 20_21'!$G$9:$G$761,"CES.01.",'2 stopień 20_21'!$K$9:$K$761,"CKZ Opole")</f>
        <v>0</v>
      </c>
      <c r="AC21" s="104">
        <f>SUMIFS('2 stopień 20_21'!$I$9:$I$761,'2 stopień 20_21'!$G$9:$G$761,"CES.01.",'2 stopień 20_21'!$K$9:$K$761,"CKZ Wrocław")</f>
        <v>0</v>
      </c>
      <c r="AD21" s="104">
        <f>SUMIFS('2 stopień 20_21'!$I$9:$I$761,'2 stopień 20_21'!$G$9:$G$761,"CES.01.",'2 stopień 20_21'!$K$9:$K$761,"Brzeg Dolny")</f>
        <v>0</v>
      </c>
      <c r="AE21" s="104">
        <f>SUMIFS('2 stopień 20_21'!$I$9:$I$761,'2 stopień 20_21'!$G$9:$G$761,"CES.01.",'2 stopień 20_21'!$K$9:$K$761,"")</f>
        <v>0</v>
      </c>
      <c r="AF21" s="105">
        <f t="shared" si="0"/>
        <v>0</v>
      </c>
    </row>
    <row r="22" spans="2:32">
      <c r="B22" s="106" t="s">
        <v>603</v>
      </c>
      <c r="C22" s="107">
        <v>818116</v>
      </c>
      <c r="D22" s="107" t="s">
        <v>698</v>
      </c>
      <c r="E22" s="106" t="s">
        <v>697</v>
      </c>
      <c r="F22" s="103">
        <f>SUMIF('2 stopień 20_21'!G$9:G$761,"CES.02.",'2 stopień 20_21'!I$9:I$761)</f>
        <v>0</v>
      </c>
      <c r="G22" s="104">
        <f>SUMIFS('2 stopień 20_21'!$I$9:$I$761,'2 stopień 20_21'!$G$9:$G$761,"CES.02.",'2 stopień 20_21'!$K$9:$K$761,"CKZ Bielawa")</f>
        <v>0</v>
      </c>
      <c r="H22" s="104">
        <f>SUMIFS('2 stopień 20_21'!$I$9:$I$761,'2 stopień 20_21'!$G$9:$G$761,"CES.02.",'2 stopień 20_21'!$K$9:$K$761,"GCKZ Głogów")</f>
        <v>0</v>
      </c>
      <c r="I22" s="104">
        <f>SUMIFS('2 stopień 20_21'!$I$9:$I$761,'2 stopień 20_21'!$G$9:$G$761,"CES.02.",'2 stopień 20_21'!$K$9:$K$761,"CKZ Jawor")</f>
        <v>0</v>
      </c>
      <c r="J22" s="104">
        <f>SUMIFS('2 stopień 20_21'!$I$9:$I$761,'2 stopień 20_21'!$G$9:$G$761,"CES.02.",'2 stopień 20_21'!$K$9:$K$761,"JCKZ Jelenia Góra")</f>
        <v>0</v>
      </c>
      <c r="K22" s="104">
        <f>SUMIFS('2 stopień 20_21'!$I$9:$I$761,'2 stopień 20_21'!$G$9:$G$761,"CES.02.",'2 stopień 20_21'!$K$9:$K$761,"CKZ Kłodzko")</f>
        <v>0</v>
      </c>
      <c r="L22" s="104">
        <f>SUMIFS('2 stopień 20_21'!$I$9:$I$761,'2 stopień 20_21'!$G$9:$G$761,"CES.02.",'2 stopień 20_21'!$K$9:$K$761,"CKZ Legnica")</f>
        <v>0</v>
      </c>
      <c r="M22" s="104">
        <f>SUMIFS('2 stopień 20_21'!$I$9:$I$761,'2 stopień 20_21'!$G$9:$G$761,"CES.02.",'2 stopień 20_21'!$K$9:$K$761,"CKZ Oleśnica")</f>
        <v>0</v>
      </c>
      <c r="N22" s="104">
        <f>SUMIFS('2 stopień 20_21'!$I$9:$I$761,'2 stopień 20_21'!$G$9:$G$761,"CES.02.",'2 stopień 20_21'!$K$9:$K$761,"CKZ Świdnica")</f>
        <v>0</v>
      </c>
      <c r="O22" s="104">
        <f>SUMIFS('2 stopień 20_21'!$I$9:$I$761,'2 stopień 20_21'!$G$9:$G$761,"CES.02.",'2 stopień 20_21'!$K$9:$K$761,"CKZ Wołów")</f>
        <v>0</v>
      </c>
      <c r="P22" s="104">
        <f>SUMIFS('2 stopień 20_21'!$I$9:$I$761,'2 stopień 20_21'!$G$9:$G$761,"CES.02.",'2 stopień 20_21'!$K$9:$K$761,"CKZ Ziębice")</f>
        <v>0</v>
      </c>
      <c r="Q22" s="104">
        <f>SUMIFS('2 stopień 20_21'!$I$9:$I$761,'2 stopień 20_21'!$G$9:$G$761,"CES.02.",'2 stopień 20_21'!$K$9:$K$761,"CKZ Dobrodzień")</f>
        <v>0</v>
      </c>
      <c r="R22" s="104">
        <f>SUMIFS('2 stopień 20_21'!$I$9:$I$761,'2 stopień 20_21'!$G$9:$G$761,"CES.02.",'2 stopień 20_21'!$K$9:$K$761,"CKZ Głubczyce")</f>
        <v>0</v>
      </c>
      <c r="S22" s="104">
        <f>SUMIFS('2 stopień 20_21'!$I$9:$I$761,'2 stopień 20_21'!$G$9:$G$761,"CES.02.",'2 stopień 20_21'!$K$9:$K$761,"CKZ Kędzierzyn Koźle")</f>
        <v>0</v>
      </c>
      <c r="T22" s="104">
        <f>SUMIFS('2 stopień 20_21'!$I$9:$I$761,'2 stopień 20_21'!$G$9:$G$761,"CES.02.",'2 stopień 20_21'!$K$9:$K$761,"CKZ Kluczbork")</f>
        <v>0</v>
      </c>
      <c r="U22" s="104">
        <f>SUMIFS('2 stopień 20_21'!$I$9:$I$761,'2 stopień 20_21'!$G$9:$G$761,"CES.02.",'2 stopień 20_21'!$K$9:$K$761,"CKZ Krotoszyn")</f>
        <v>0</v>
      </c>
      <c r="V22" s="104">
        <f>SUMIFS('2 stopień 20_21'!$I$9:$I$761,'2 stopień 20_21'!$G$9:$G$761,"CES.02.",'2 stopień 20_21'!$K$9:$K$761,"CKZ Olkusz")</f>
        <v>0</v>
      </c>
      <c r="W22" s="104">
        <f>SUMIFS('2 stopień 20_21'!$I$9:$I$761,'2 stopień 20_21'!$G$9:$G$761,"CES.02.",'2 stopień 20_21'!$K$9:$K$761,"CKZ Wschowa")</f>
        <v>0</v>
      </c>
      <c r="X22" s="104">
        <f>SUMIFS('2 stopień 20_21'!$I$9:$I$761,'2 stopień 20_21'!$G$9:$G$761,"CES.02.",'2 stopień 20_21'!$K$9:$K$761,"CKZ Zielona Góra")</f>
        <v>0</v>
      </c>
      <c r="Y22" s="104">
        <f>SUMIFS('2 stopień 20_21'!$I$9:$I$761,'2 stopień 20_21'!$G$9:$G$761,"CES.02.",'2 stopień 20_21'!$K$9:$K$761,"Rzemieślnicza Wałbrzych")</f>
        <v>0</v>
      </c>
      <c r="Z22" s="104">
        <f>SUMIFS('2 stopień 20_21'!$I$9:$I$761,'2 stopień 20_21'!$G$9:$G$761,"CES.02.",'2 stopień 20_21'!$K$9:$K$761,"CKZ Mosina")</f>
        <v>0</v>
      </c>
      <c r="AA22" s="104">
        <f>SUMIFS('2 stopień 20_21'!$I$9:$I$761,'2 stopień 20_21'!$G$9:$G$761,"CES.02.",'2 stopień 20_21'!$K$9:$K$761,"CKZ Słupsk")</f>
        <v>0</v>
      </c>
      <c r="AB22" s="104">
        <f>SUMIFS('2 stopień 20_21'!$I$9:$I$761,'2 stopień 20_21'!$G$9:$G$761,"CES.02.",'2 stopień 20_21'!$K$9:$K$761,"CKZ Opole")</f>
        <v>0</v>
      </c>
      <c r="AC22" s="104">
        <f>SUMIFS('2 stopień 20_21'!$I$9:$I$761,'2 stopień 20_21'!$G$9:$G$761,"CES.02.",'2 stopień 20_21'!$K$9:$K$761,"CKZ Wrocław")</f>
        <v>0</v>
      </c>
      <c r="AD22" s="104">
        <f>SUMIFS('2 stopień 20_21'!$I$9:$I$761,'2 stopień 20_21'!$G$9:$G$761,"CES.02.",'2 stopień 20_21'!$K$9:$K$761,"Brzeg Dolny")</f>
        <v>0</v>
      </c>
      <c r="AE22" s="104">
        <f>SUMIFS('2 stopień 20_21'!$I$9:$I$761,'2 stopień 20_21'!$G$9:$G$761,"CES.02.",'2 stopień 20_21'!$K$9:$K$761,"")</f>
        <v>0</v>
      </c>
      <c r="AF22" s="105">
        <f t="shared" si="0"/>
        <v>0</v>
      </c>
    </row>
    <row r="23" spans="2:32">
      <c r="B23" s="108" t="s">
        <v>604</v>
      </c>
      <c r="C23" s="109">
        <v>731609</v>
      </c>
      <c r="D23" s="109" t="s">
        <v>700</v>
      </c>
      <c r="E23" s="110" t="s">
        <v>699</v>
      </c>
      <c r="F23" s="103">
        <f>SUMIF('2 stopień 20_21'!G$9:G$761,"CES.05.",'2 stopień 20_21'!I$9:I$761)</f>
        <v>0</v>
      </c>
      <c r="G23" s="104">
        <f>SUMIFS('2 stopień 20_21'!$I$9:$I$761,'2 stopień 20_21'!$G$9:$G$761,"CES.05.",'2 stopień 20_21'!$K$9:$K$761,"CKZ Bielawa")</f>
        <v>0</v>
      </c>
      <c r="H23" s="104">
        <f>SUMIFS('2 stopień 20_21'!$I$9:$I$761,'2 stopień 20_21'!$G$9:$G$761,"CES.05.",'2 stopień 20_21'!$K$9:$K$761,"GCKZ Głogów")</f>
        <v>0</v>
      </c>
      <c r="I23" s="104">
        <f>SUMIFS('2 stopień 20_21'!$I$9:$I$761,'2 stopień 20_21'!$G$9:$G$761,"CES.05.",'2 stopień 20_21'!$K$9:$K$761,"CKZ Jawor")</f>
        <v>0</v>
      </c>
      <c r="J23" s="104">
        <f>SUMIFS('2 stopień 20_21'!$I$9:$I$761,'2 stopień 20_21'!$G$9:$G$761,"CES.05.",'2 stopień 20_21'!$K$9:$K$761,"JCKZ Jelenia Góra")</f>
        <v>0</v>
      </c>
      <c r="K23" s="104">
        <f>SUMIFS('2 stopień 20_21'!$I$9:$I$761,'2 stopień 20_21'!$G$9:$G$761,"CES.05.",'2 stopień 20_21'!$K$9:$K$761,"CKZ Kłodzko")</f>
        <v>0</v>
      </c>
      <c r="L23" s="104">
        <f>SUMIFS('2 stopień 20_21'!$I$9:$I$761,'2 stopień 20_21'!$G$9:$G$761,"CES.05.",'2 stopień 20_21'!$K$9:$K$761,"CKZ Legnica")</f>
        <v>0</v>
      </c>
      <c r="M23" s="104">
        <f>SUMIFS('2 stopień 20_21'!$I$9:$I$761,'2 stopień 20_21'!$G$9:$G$761,"CES.05.",'2 stopień 20_21'!$K$9:$K$761,"CKZ Oleśnica")</f>
        <v>0</v>
      </c>
      <c r="N23" s="104">
        <f>SUMIFS('2 stopień 20_21'!$I$9:$I$761,'2 stopień 20_21'!$G$9:$G$761,"CES.05.",'2 stopień 20_21'!$K$9:$K$761,"CKZ Świdnica")</f>
        <v>0</v>
      </c>
      <c r="O23" s="104">
        <f>SUMIFS('2 stopień 20_21'!$I$9:$I$761,'2 stopień 20_21'!$G$9:$G$761,"CES.05.",'2 stopień 20_21'!$K$9:$K$761,"CKZ Wołów")</f>
        <v>0</v>
      </c>
      <c r="P23" s="104">
        <f>SUMIFS('2 stopień 20_21'!$I$9:$I$761,'2 stopień 20_21'!$G$9:$G$761,"CES.05.",'2 stopień 20_21'!$K$9:$K$761,"CKZ Ziębice")</f>
        <v>0</v>
      </c>
      <c r="Q23" s="104">
        <f>SUMIFS('2 stopień 20_21'!$I$9:$I$761,'2 stopień 20_21'!$G$9:$G$761,"CES.05.",'2 stopień 20_21'!$K$9:$K$761,"CKZ Dobrodzień")</f>
        <v>0</v>
      </c>
      <c r="R23" s="104">
        <f>SUMIFS('2 stopień 20_21'!$I$9:$I$761,'2 stopień 20_21'!$G$9:$G$761,"CES.05.",'2 stopień 20_21'!$K$9:$K$761,"CKZ Głubczyce")</f>
        <v>0</v>
      </c>
      <c r="S23" s="104">
        <f>SUMIFS('2 stopień 20_21'!$I$9:$I$761,'2 stopień 20_21'!$G$9:$G$761,"CES.05.",'2 stopień 20_21'!$K$9:$K$761,"CKZ Kędzierzyn Koźle")</f>
        <v>0</v>
      </c>
      <c r="T23" s="104">
        <f>SUMIFS('2 stopień 20_21'!$I$9:$I$761,'2 stopień 20_21'!$G$9:$G$761,"CES.05.",'2 stopień 20_21'!$K$9:$K$761,"CKZ Kluczbork")</f>
        <v>0</v>
      </c>
      <c r="U23" s="104">
        <f>SUMIFS('2 stopień 20_21'!$I$9:$I$761,'2 stopień 20_21'!$G$9:$G$761,"CES.05.",'2 stopień 20_21'!$K$9:$K$761,"CKZ Krotoszyn")</f>
        <v>0</v>
      </c>
      <c r="V23" s="104">
        <f>SUMIFS('2 stopień 20_21'!$I$9:$I$761,'2 stopień 20_21'!$G$9:$G$761,"CES.05.",'2 stopień 20_21'!$K$9:$K$761,"CKZ Olkusz")</f>
        <v>0</v>
      </c>
      <c r="W23" s="104">
        <f>SUMIFS('2 stopień 20_21'!$I$9:$I$761,'2 stopień 20_21'!$G$9:$G$761,"CES.05.",'2 stopień 20_21'!$K$9:$K$761,"CKZ Wschowa")</f>
        <v>0</v>
      </c>
      <c r="X23" s="104">
        <f>SUMIFS('2 stopień 20_21'!$I$9:$I$761,'2 stopień 20_21'!$G$9:$G$761,"CES.05.",'2 stopień 20_21'!$K$9:$K$761,"CKZ Zielona Góra")</f>
        <v>0</v>
      </c>
      <c r="Y23" s="104">
        <f>SUMIFS('2 stopień 20_21'!$I$9:$I$761,'2 stopień 20_21'!$G$9:$G$761,"CES.05.",'2 stopień 20_21'!$K$9:$K$761,"Rzemieślnicza Wałbrzych")</f>
        <v>0</v>
      </c>
      <c r="Z23" s="104">
        <f>SUMIFS('2 stopień 20_21'!$I$9:$I$761,'2 stopień 20_21'!$G$9:$G$761,"CES.05.",'2 stopień 20_21'!$K$9:$K$761,"CKZ Mosina")</f>
        <v>0</v>
      </c>
      <c r="AA23" s="104">
        <f>SUMIFS('2 stopień 20_21'!$I$9:$I$761,'2 stopień 20_21'!$G$9:$G$761,"CES.05.",'2 stopień 20_21'!$K$9:$K$761,"CKZ Słupsk")</f>
        <v>0</v>
      </c>
      <c r="AB23" s="104">
        <f>SUMIFS('2 stopień 20_21'!$I$9:$I$761,'2 stopień 20_21'!$G$9:$G$761,"CES.05.",'2 stopień 20_21'!$K$9:$K$761,"CKZ Opole")</f>
        <v>0</v>
      </c>
      <c r="AC23" s="104">
        <f>SUMIFS('2 stopień 20_21'!$I$9:$I$761,'2 stopień 20_21'!$G$9:$G$761,"CES.05.",'2 stopień 20_21'!$K$9:$K$761,"CKZ Wrocław")</f>
        <v>0</v>
      </c>
      <c r="AD23" s="104">
        <f>SUMIFS('2 stopień 20_21'!$I$9:$I$761,'2 stopień 20_21'!$G$9:$G$761,"CES.05.",'2 stopień 20_21'!$K$9:$K$761,"Brzeg Dolny")</f>
        <v>0</v>
      </c>
      <c r="AE23" s="104">
        <f>SUMIFS('2 stopień 20_21'!$I$9:$I$761,'2 stopień 20_21'!$G$9:$G$761,"CES.05.",'2 stopień 20_21'!$K$9:$K$761,"")</f>
        <v>0</v>
      </c>
      <c r="AF23" s="105">
        <f t="shared" si="0"/>
        <v>0</v>
      </c>
    </row>
    <row r="24" spans="2:32">
      <c r="B24" s="106" t="s">
        <v>605</v>
      </c>
      <c r="C24" s="107">
        <v>814209</v>
      </c>
      <c r="D24" s="107" t="s">
        <v>702</v>
      </c>
      <c r="E24" s="106" t="s">
        <v>701</v>
      </c>
      <c r="F24" s="103">
        <f>SUMIF('2 stopień 20_21'!G$9:G$761,"CHM.01.",'2 stopień 20_21'!I$9:I$761)</f>
        <v>2</v>
      </c>
      <c r="G24" s="104">
        <f>SUMIFS('2 stopień 20_21'!$I$9:$I$761,'2 stopień 20_21'!$G$9:$G$761,"CHM.01.",'2 stopień 20_21'!$K$9:$K$761,"CKZ Bielawa")</f>
        <v>0</v>
      </c>
      <c r="H24" s="104">
        <f>SUMIFS('2 stopień 20_21'!$I$9:$I$761,'2 stopień 20_21'!$G$9:$G$761,"CHM.01.",'2 stopień 20_21'!$K$9:$K$761,"GCKZ Głogów")</f>
        <v>0</v>
      </c>
      <c r="I24" s="104">
        <f>SUMIFS('2 stopień 20_21'!$I$9:$I$761,'2 stopień 20_21'!$G$9:$G$761,"CHM.01.",'2 stopień 20_21'!$K$9:$K$761,"CKZ Jawor")</f>
        <v>0</v>
      </c>
      <c r="J24" s="104">
        <f>SUMIFS('2 stopień 20_21'!$I$9:$I$761,'2 stopień 20_21'!$G$9:$G$761,"CHM.01.",'2 stopień 20_21'!$K$9:$K$761,"JCKZ Jelenia Góra")</f>
        <v>0</v>
      </c>
      <c r="K24" s="104">
        <f>SUMIFS('2 stopień 20_21'!$I$9:$I$761,'2 stopień 20_21'!$G$9:$G$761,"CHM.01.",'2 stopień 20_21'!$K$9:$K$761,"CKZ Kłodzko")</f>
        <v>0</v>
      </c>
      <c r="L24" s="104">
        <f>SUMIFS('2 stopień 20_21'!$I$9:$I$761,'2 stopień 20_21'!$G$9:$G$761,"CHM.01.",'2 stopień 20_21'!$K$9:$K$761,"CKZ Legnica")</f>
        <v>0</v>
      </c>
      <c r="M24" s="104">
        <f>SUMIFS('2 stopień 20_21'!$I$9:$I$761,'2 stopień 20_21'!$G$9:$G$761,"CHM.01.",'2 stopień 20_21'!$K$9:$K$761,"CKZ Oleśnica")</f>
        <v>0</v>
      </c>
      <c r="N24" s="104">
        <f>SUMIFS('2 stopień 20_21'!$I$9:$I$761,'2 stopień 20_21'!$G$9:$G$761,"CHM.01.",'2 stopień 20_21'!$K$9:$K$761,"CKZ Świdnica")</f>
        <v>0</v>
      </c>
      <c r="O24" s="104">
        <f>SUMIFS('2 stopień 20_21'!$I$9:$I$761,'2 stopień 20_21'!$G$9:$G$761,"CHM.01.",'2 stopień 20_21'!$K$9:$K$761,"CKZ Wołów")</f>
        <v>0</v>
      </c>
      <c r="P24" s="104">
        <f>SUMIFS('2 stopień 20_21'!$I$9:$I$761,'2 stopień 20_21'!$G$9:$G$761,"CHM.01.",'2 stopień 20_21'!$K$9:$K$761,"CKZ Ziębice")</f>
        <v>0</v>
      </c>
      <c r="Q24" s="104">
        <f>SUMIFS('2 stopień 20_21'!$I$9:$I$761,'2 stopień 20_21'!$G$9:$G$761,"CHM.01.",'2 stopień 20_21'!$K$9:$K$761,"CKZ Dobrodzień")</f>
        <v>0</v>
      </c>
      <c r="R24" s="104">
        <f>SUMIFS('2 stopień 20_21'!$I$9:$I$761,'2 stopień 20_21'!$G$9:$G$761,"CHM.01.",'2 stopień 20_21'!$K$9:$K$761,"CKZ Głubczyce")</f>
        <v>0</v>
      </c>
      <c r="S24" s="104">
        <f>SUMIFS('2 stopień 20_21'!$I$9:$I$761,'2 stopień 20_21'!$G$9:$G$761,"CHM.01.",'2 stopień 20_21'!$K$9:$K$761,"CKZ Kędzierzyn Koźle")</f>
        <v>0</v>
      </c>
      <c r="T24" s="104">
        <f>SUMIFS('2 stopień 20_21'!$I$9:$I$761,'2 stopień 20_21'!$G$9:$G$761,"CHM.01.",'2 stopień 20_21'!$K$9:$K$761,"CKZ Kluczbork")</f>
        <v>0</v>
      </c>
      <c r="U24" s="104">
        <f>SUMIFS('2 stopień 20_21'!$I$9:$I$761,'2 stopień 20_21'!$G$9:$G$761,"CHM.01.",'2 stopień 20_21'!$K$9:$K$761,"CKZ Krotoszyn")</f>
        <v>0</v>
      </c>
      <c r="V24" s="104">
        <f>SUMIFS('2 stopień 20_21'!$I$9:$I$761,'2 stopień 20_21'!$G$9:$G$761,"CHM.01.",'2 stopień 20_21'!$K$9:$K$761,"CKZ Olkusz")</f>
        <v>0</v>
      </c>
      <c r="W24" s="104">
        <f>SUMIFS('2 stopień 20_21'!$I$9:$I$761,'2 stopień 20_21'!$G$9:$G$761,"CHM.01.",'2 stopień 20_21'!$K$9:$K$761,"CKZ Wschowa")</f>
        <v>2</v>
      </c>
      <c r="X24" s="104">
        <f>SUMIFS('2 stopień 20_21'!$I$9:$I$761,'2 stopień 20_21'!$G$9:$G$761,"CHM.01.",'2 stopień 20_21'!$K$9:$K$761,"CKZ Zielona Góra")</f>
        <v>0</v>
      </c>
      <c r="Y24" s="104">
        <f>SUMIFS('2 stopień 20_21'!$I$9:$I$761,'2 stopień 20_21'!$G$9:$G$761,"CHM.01.",'2 stopień 20_21'!$K$9:$K$761,"Rzemieślnicza Wałbrzych")</f>
        <v>0</v>
      </c>
      <c r="Z24" s="104">
        <f>SUMIFS('2 stopień 20_21'!$I$9:$I$761,'2 stopień 20_21'!$G$9:$G$761,"CHM.01.",'2 stopień 20_21'!$K$9:$K$761,"CKZ Mosina")</f>
        <v>0</v>
      </c>
      <c r="AA24" s="104">
        <f>SUMIFS('2 stopień 20_21'!$I$9:$I$761,'2 stopień 20_21'!$G$9:$G$761,"CHM.01.",'2 stopień 20_21'!$K$9:$K$761,"CKZ Słupsk")</f>
        <v>0</v>
      </c>
      <c r="AB24" s="104">
        <f>SUMIFS('2 stopień 20_21'!$I$9:$I$761,'2 stopień 20_21'!$G$9:$G$761,"CHM.01.",'2 stopień 20_21'!$K$9:$K$761,"CKZ Opole")</f>
        <v>0</v>
      </c>
      <c r="AC24" s="104">
        <f>SUMIFS('2 stopień 20_21'!$I$9:$I$761,'2 stopień 20_21'!$G$9:$G$761,"CHM.01.",'2 stopień 20_21'!$K$9:$K$761,"CKZ Wrocław")</f>
        <v>0</v>
      </c>
      <c r="AD24" s="104">
        <f>SUMIFS('2 stopień 20_21'!$I$9:$I$761,'2 stopień 20_21'!$G$9:$G$761,"CHM.01.",'2 stopień 20_21'!$K$9:$K$761,"Brzeg Dolny")</f>
        <v>0</v>
      </c>
      <c r="AE24" s="104">
        <f>SUMIFS('2 stopień 20_21'!$I$9:$I$761,'2 stopień 20_21'!$G$9:$G$761,"CHM.01.",'2 stopień 20_21'!$K$9:$K$761,"")</f>
        <v>0</v>
      </c>
      <c r="AF24" s="105">
        <f t="shared" si="0"/>
        <v>2</v>
      </c>
    </row>
    <row r="25" spans="2:32">
      <c r="B25" s="106" t="s">
        <v>606</v>
      </c>
      <c r="C25" s="107">
        <v>813134</v>
      </c>
      <c r="D25" s="107" t="s">
        <v>704</v>
      </c>
      <c r="E25" s="106" t="s">
        <v>703</v>
      </c>
      <c r="F25" s="103">
        <f>SUMIF('2 stopień 20_21'!G$9:G$761,"CHM.02.",'2 stopień 20_21'!I$9:I$761)</f>
        <v>5</v>
      </c>
      <c r="G25" s="104">
        <f>SUMIFS('2 stopień 20_21'!$I$9:$I$761,'2 stopień 20_21'!$G$9:$G$761,"CHM.02.",'2 stopień 20_21'!$K$9:$K$761,"CKZ Bielawa")</f>
        <v>0</v>
      </c>
      <c r="H25" s="104">
        <f>SUMIFS('2 stopień 20_21'!$I$9:$I$761,'2 stopień 20_21'!$G$9:$G$761,"CHM.02.",'2 stopień 20_21'!$K$9:$K$761,"GCKZ Głogów")</f>
        <v>0</v>
      </c>
      <c r="I25" s="104">
        <f>SUMIFS('2 stopień 20_21'!$I$9:$I$761,'2 stopień 20_21'!$G$9:$G$761,"CHM.02.",'2 stopień 20_21'!$K$9:$K$761,"CKZ Jawor")</f>
        <v>0</v>
      </c>
      <c r="J25" s="104">
        <f>SUMIFS('2 stopień 20_21'!$I$9:$I$761,'2 stopień 20_21'!$G$9:$G$761,"CHM.02.",'2 stopień 20_21'!$K$9:$K$761,"JCKZ Jelenia Góra")</f>
        <v>0</v>
      </c>
      <c r="K25" s="104">
        <f>SUMIFS('2 stopień 20_21'!$I$9:$I$761,'2 stopień 20_21'!$G$9:$G$761,"CHM.02.",'2 stopień 20_21'!$K$9:$K$761,"CKZ Kłodzko")</f>
        <v>0</v>
      </c>
      <c r="L25" s="104">
        <f>SUMIFS('2 stopień 20_21'!$I$9:$I$761,'2 stopień 20_21'!$G$9:$G$761,"CHM.02.",'2 stopień 20_21'!$K$9:$K$761,"CKZ Legnica")</f>
        <v>0</v>
      </c>
      <c r="M25" s="104">
        <f>SUMIFS('2 stopień 20_21'!$I$9:$I$761,'2 stopień 20_21'!$G$9:$G$761,"CHM.02.",'2 stopień 20_21'!$K$9:$K$761,"CKZ Oleśnica")</f>
        <v>0</v>
      </c>
      <c r="N25" s="104">
        <f>SUMIFS('2 stopień 20_21'!$I$9:$I$761,'2 stopień 20_21'!$G$9:$G$761,"CHM.02.",'2 stopień 20_21'!$K$9:$K$761,"CKZ Świdnica")</f>
        <v>0</v>
      </c>
      <c r="O25" s="104">
        <f>SUMIFS('2 stopień 20_21'!$I$9:$I$761,'2 stopień 20_21'!$G$9:$G$761,"CHM.02.",'2 stopień 20_21'!$K$9:$K$761,"CKZ Wołów")</f>
        <v>0</v>
      </c>
      <c r="P25" s="104">
        <f>SUMIFS('2 stopień 20_21'!$I$9:$I$761,'2 stopień 20_21'!$G$9:$G$761,"CHM.02.",'2 stopień 20_21'!$K$9:$K$761,"CKZ Ziębice")</f>
        <v>0</v>
      </c>
      <c r="Q25" s="104">
        <f>SUMIFS('2 stopień 20_21'!$I$9:$I$761,'2 stopień 20_21'!$G$9:$G$761,"CHM.02.",'2 stopień 20_21'!$K$9:$K$761,"CKZ Dobrodzień")</f>
        <v>0</v>
      </c>
      <c r="R25" s="104">
        <f>SUMIFS('2 stopień 20_21'!$I$9:$I$761,'2 stopień 20_21'!$G$9:$G$761,"CHM.02.",'2 stopień 20_21'!$K$9:$K$761,"CKZ Głubczyce")</f>
        <v>0</v>
      </c>
      <c r="S25" s="104">
        <f>SUMIFS('2 stopień 20_21'!$I$9:$I$761,'2 stopień 20_21'!$G$9:$G$761,"CHM.02.",'2 stopień 20_21'!$K$9:$K$761,"CKZ Kędzierzyn Koźle")</f>
        <v>0</v>
      </c>
      <c r="T25" s="104">
        <f>SUMIFS('2 stopień 20_21'!$I$9:$I$761,'2 stopień 20_21'!$G$9:$G$761,"CHM.02.",'2 stopień 20_21'!$K$9:$K$761,"CKZ Kluczbork")</f>
        <v>0</v>
      </c>
      <c r="U25" s="104">
        <f>SUMIFS('2 stopień 20_21'!$I$9:$I$761,'2 stopień 20_21'!$G$9:$G$761,"CHM.02.",'2 stopień 20_21'!$K$9:$K$761,"CKZ Krotoszyn")</f>
        <v>0</v>
      </c>
      <c r="V25" s="104">
        <f>SUMIFS('2 stopień 20_21'!$I$9:$I$761,'2 stopień 20_21'!$G$9:$G$761,"CHM.02.",'2 stopień 20_21'!$K$9:$K$761,"CKZ Olkusz")</f>
        <v>0</v>
      </c>
      <c r="W25" s="104">
        <f>SUMIFS('2 stopień 20_21'!$I$9:$I$761,'2 stopień 20_21'!$G$9:$G$761,"CHM.02.",'2 stopień 20_21'!$K$9:$K$761,"CKZ Wschowa")</f>
        <v>0</v>
      </c>
      <c r="X25" s="104">
        <f>SUMIFS('2 stopień 20_21'!$I$9:$I$761,'2 stopień 20_21'!$G$9:$G$761,"CHM.02.",'2 stopień 20_21'!$K$9:$K$761,"CKZ Zielona Góra")</f>
        <v>0</v>
      </c>
      <c r="Y25" s="104">
        <f>SUMIFS('2 stopień 20_21'!$I$9:$I$761,'2 stopień 20_21'!$G$9:$G$761,"CHM.02.",'2 stopień 20_21'!$K$9:$K$761,"Rzemieślnicza Wałbrzych")</f>
        <v>0</v>
      </c>
      <c r="Z25" s="104">
        <f>SUMIFS('2 stopień 20_21'!$I$9:$I$761,'2 stopień 20_21'!$G$9:$G$761,"CHM.02.",'2 stopień 20_21'!$K$9:$K$761,"CKZ Mosina")</f>
        <v>0</v>
      </c>
      <c r="AA25" s="104">
        <f>SUMIFS('2 stopień 20_21'!$I$9:$I$761,'2 stopień 20_21'!$G$9:$G$761,"CHM.02.",'2 stopień 20_21'!$K$9:$K$761,"CKZ Słupsk")</f>
        <v>0</v>
      </c>
      <c r="AB25" s="104">
        <f>SUMIFS('2 stopień 20_21'!$I$9:$I$761,'2 stopień 20_21'!$G$9:$G$761,"CHM.02.",'2 stopień 20_21'!$K$9:$K$761,"CKZ Opole")</f>
        <v>0</v>
      </c>
      <c r="AC25" s="104">
        <f>SUMIFS('2 stopień 20_21'!$I$9:$I$761,'2 stopień 20_21'!$G$9:$G$761,"CHM.02.",'2 stopień 20_21'!$K$9:$K$761,"CKZ Wrocław")</f>
        <v>0</v>
      </c>
      <c r="AD25" s="104">
        <f>SUMIFS('2 stopień 20_21'!$I$9:$I$761,'2 stopień 20_21'!$G$9:$G$761,"CHM.02.",'2 stopień 20_21'!$K$9:$K$761,"Brzeg Dolny")</f>
        <v>5</v>
      </c>
      <c r="AE25" s="104">
        <f>SUMIFS('2 stopień 20_21'!$I$9:$I$761,'2 stopień 20_21'!$G$9:$G$761,"CHM.02.",'2 stopień 20_21'!$K$9:$K$761,"")</f>
        <v>0</v>
      </c>
      <c r="AF25" s="105">
        <f t="shared" si="0"/>
        <v>5</v>
      </c>
    </row>
    <row r="26" spans="2:32">
      <c r="B26" s="106" t="s">
        <v>607</v>
      </c>
      <c r="C26" s="107">
        <v>731702</v>
      </c>
      <c r="D26" s="107" t="s">
        <v>706</v>
      </c>
      <c r="E26" s="106" t="s">
        <v>705</v>
      </c>
      <c r="F26" s="103">
        <f>SUMIF('2 stopień 20_21'!G$9:G$761,"DRM.01.",'2 stopień 20_21'!I$9:I$761)</f>
        <v>0</v>
      </c>
      <c r="G26" s="104">
        <f>SUMIFS('2 stopień 20_21'!$I$9:$I$761,'2 stopień 20_21'!$G$9:$G$761,"DRM.01.",'2 stopień 20_21'!$K$9:$K$761,"CKZ Bielawa")</f>
        <v>0</v>
      </c>
      <c r="H26" s="104">
        <f>SUMIFS('2 stopień 20_21'!$I$9:$I$761,'2 stopień 20_21'!$G$9:$G$761,"DRM.01.",'2 stopień 20_21'!$K$9:$K$761,"GCKZ Głogów")</f>
        <v>0</v>
      </c>
      <c r="I26" s="104">
        <f>SUMIFS('2 stopień 20_21'!$I$9:$I$761,'2 stopień 20_21'!$G$9:$G$761,"DRM.01.",'2 stopień 20_21'!$K$9:$K$761,"CKZ Jawor")</f>
        <v>0</v>
      </c>
      <c r="J26" s="104">
        <f>SUMIFS('2 stopień 20_21'!$I$9:$I$761,'2 stopień 20_21'!$G$9:$G$761,"DRM.01.",'2 stopień 20_21'!$K$9:$K$761,"JCKZ Jelenia Góra")</f>
        <v>0</v>
      </c>
      <c r="K26" s="104">
        <f>SUMIFS('2 stopień 20_21'!$I$9:$I$761,'2 stopień 20_21'!$G$9:$G$761,"DRM.01.",'2 stopień 20_21'!$K$9:$K$761,"CKZ Kłodzko")</f>
        <v>0</v>
      </c>
      <c r="L26" s="104">
        <f>SUMIFS('2 stopień 20_21'!$I$9:$I$761,'2 stopień 20_21'!$G$9:$G$761,"DRM.01.",'2 stopień 20_21'!$K$9:$K$761,"CKZ Legnica")</f>
        <v>0</v>
      </c>
      <c r="M26" s="104">
        <f>SUMIFS('2 stopień 20_21'!$I$9:$I$761,'2 stopień 20_21'!$G$9:$G$761,"DRM.01.",'2 stopień 20_21'!$K$9:$K$761,"CKZ Oleśnica")</f>
        <v>0</v>
      </c>
      <c r="N26" s="104">
        <f>SUMIFS('2 stopień 20_21'!$I$9:$I$761,'2 stopień 20_21'!$G$9:$G$761,"DRM.01.",'2 stopień 20_21'!$K$9:$K$761,"CKZ Świdnica")</f>
        <v>0</v>
      </c>
      <c r="O26" s="104">
        <f>SUMIFS('2 stopień 20_21'!$I$9:$I$761,'2 stopień 20_21'!$G$9:$G$761,"DRM.01.",'2 stopień 20_21'!$K$9:$K$761,"CKZ Wołów")</f>
        <v>0</v>
      </c>
      <c r="P26" s="104">
        <f>SUMIFS('2 stopień 20_21'!$I$9:$I$761,'2 stopień 20_21'!$G$9:$G$761,"DRM.01.",'2 stopień 20_21'!$K$9:$K$761,"CKZ Ziębice")</f>
        <v>0</v>
      </c>
      <c r="Q26" s="104">
        <f>SUMIFS('2 stopień 20_21'!$I$9:$I$761,'2 stopień 20_21'!$G$9:$G$761,"DRM.01.",'2 stopień 20_21'!$K$9:$K$761,"CKZ Dobrodzień")</f>
        <v>0</v>
      </c>
      <c r="R26" s="104">
        <f>SUMIFS('2 stopień 20_21'!$I$9:$I$761,'2 stopień 20_21'!$G$9:$G$761,"DRM.01.",'2 stopień 20_21'!$K$9:$K$761,"CKZ Głubczyce")</f>
        <v>0</v>
      </c>
      <c r="S26" s="104">
        <f>SUMIFS('2 stopień 20_21'!$I$9:$I$761,'2 stopień 20_21'!$G$9:$G$761,"DRM.01.",'2 stopień 20_21'!$K$9:$K$761,"CKZ Kędzierzyn Koźle")</f>
        <v>0</v>
      </c>
      <c r="T26" s="104">
        <f>SUMIFS('2 stopień 20_21'!$I$9:$I$761,'2 stopień 20_21'!$G$9:$G$761,"DRM.01.",'2 stopień 20_21'!$K$9:$K$761,"CKZ Kluczbork")</f>
        <v>0</v>
      </c>
      <c r="U26" s="104">
        <f>SUMIFS('2 stopień 20_21'!$I$9:$I$761,'2 stopień 20_21'!$G$9:$G$761,"DRM.01.",'2 stopień 20_21'!$K$9:$K$761,"CKZ Krotoszyn")</f>
        <v>0</v>
      </c>
      <c r="V26" s="104">
        <f>SUMIFS('2 stopień 20_21'!$I$9:$I$761,'2 stopień 20_21'!$G$9:$G$761,"DRM.01.",'2 stopień 20_21'!$K$9:$K$761,"CKZ Olkusz")</f>
        <v>0</v>
      </c>
      <c r="W26" s="104">
        <f>SUMIFS('2 stopień 20_21'!$I$9:$I$761,'2 stopień 20_21'!$G$9:$G$761,"DRM.01.",'2 stopień 20_21'!$K$9:$K$761,"CKZ Wschowa")</f>
        <v>0</v>
      </c>
      <c r="X26" s="104">
        <f>SUMIFS('2 stopień 20_21'!$I$9:$I$761,'2 stopień 20_21'!$G$9:$G$761,"DRM.01.",'2 stopień 20_21'!$K$9:$K$761,"CKZ Zielona Góra")</f>
        <v>0</v>
      </c>
      <c r="Y26" s="104">
        <f>SUMIFS('2 stopień 20_21'!$I$9:$I$761,'2 stopień 20_21'!$G$9:$G$761,"DRM.01.",'2 stopień 20_21'!$K$9:$K$761,"Rzemieślnicza Wałbrzych")</f>
        <v>0</v>
      </c>
      <c r="Z26" s="104">
        <f>SUMIFS('2 stopień 20_21'!$I$9:$I$761,'2 stopień 20_21'!$G$9:$G$761,"DRM.01.",'2 stopień 20_21'!$K$9:$K$761,"CKZ Mosina")</f>
        <v>0</v>
      </c>
      <c r="AA26" s="104">
        <f>SUMIFS('2 stopień 20_21'!$I$9:$I$761,'2 stopień 20_21'!$G$9:$G$761,"DRM.01.",'2 stopień 20_21'!$K$9:$K$761,"CKZ Słupsk")</f>
        <v>0</v>
      </c>
      <c r="AB26" s="104">
        <f>SUMIFS('2 stopień 20_21'!$I$9:$I$761,'2 stopień 20_21'!$G$9:$G$761,"DRM.01.",'2 stopień 20_21'!$K$9:$K$761,"CKZ Opole")</f>
        <v>0</v>
      </c>
      <c r="AC26" s="104">
        <f>SUMIFS('2 stopień 20_21'!$I$9:$I$761,'2 stopień 20_21'!$G$9:$G$761,"DRM.01.",'2 stopień 20_21'!$K$9:$K$761,"CKZ Wrocław")</f>
        <v>0</v>
      </c>
      <c r="AD26" s="104">
        <f>SUMIFS('2 stopień 20_21'!$I$9:$I$761,'2 stopień 20_21'!$G$9:$G$761,"DRM.01.",'2 stopień 20_21'!$K$9:$K$761,"Brzeg Dolny")</f>
        <v>0</v>
      </c>
      <c r="AE26" s="104">
        <f>SUMIFS('2 stopień 20_21'!$I$9:$I$761,'2 stopień 20_21'!$G$9:$G$761,"DRM.01.",'2 stopień 20_21'!$K$9:$K$761,"")</f>
        <v>0</v>
      </c>
      <c r="AF26" s="105">
        <f t="shared" si="0"/>
        <v>0</v>
      </c>
    </row>
    <row r="27" spans="2:32">
      <c r="B27" s="106" t="s">
        <v>608</v>
      </c>
      <c r="C27" s="107">
        <v>817212</v>
      </c>
      <c r="D27" s="107" t="s">
        <v>708</v>
      </c>
      <c r="E27" s="106" t="s">
        <v>707</v>
      </c>
      <c r="F27" s="103">
        <f>SUMIF('2 stopień 20_21'!G$9:G$761,"DRM.02.",'2 stopień 20_21'!I$9:I$761)</f>
        <v>0</v>
      </c>
      <c r="G27" s="104">
        <f>SUMIFS('2 stopień 20_21'!$I$9:$I$761,'2 stopień 20_21'!$G$9:$G$761,"DRM.02.",'2 stopień 20_21'!$K$9:$K$761,"CKZ Bielawa")</f>
        <v>0</v>
      </c>
      <c r="H27" s="104">
        <f>SUMIFS('2 stopień 20_21'!$I$9:$I$761,'2 stopień 20_21'!$G$9:$G$761,"DRM.02.",'2 stopień 20_21'!$K$9:$K$761,"GCKZ Głogów")</f>
        <v>0</v>
      </c>
      <c r="I27" s="104">
        <f>SUMIFS('2 stopień 20_21'!$I$9:$I$761,'2 stopień 20_21'!$G$9:$G$761,"DRM.02.",'2 stopień 20_21'!$K$9:$K$761,"CKZ Jawor")</f>
        <v>0</v>
      </c>
      <c r="J27" s="104">
        <f>SUMIFS('2 stopień 20_21'!$I$9:$I$761,'2 stopień 20_21'!$G$9:$G$761,"DRM.02.",'2 stopień 20_21'!$K$9:$K$761,"JCKZ Jelenia Góra")</f>
        <v>0</v>
      </c>
      <c r="K27" s="104">
        <f>SUMIFS('2 stopień 20_21'!$I$9:$I$761,'2 stopień 20_21'!$G$9:$G$761,"DRM.02.",'2 stopień 20_21'!$K$9:$K$761,"CKZ Kłodzko")</f>
        <v>0</v>
      </c>
      <c r="L27" s="104">
        <f>SUMIFS('2 stopień 20_21'!$I$9:$I$761,'2 stopień 20_21'!$G$9:$G$761,"DRM.02.",'2 stopień 20_21'!$K$9:$K$761,"CKZ Legnica")</f>
        <v>0</v>
      </c>
      <c r="M27" s="104">
        <f>SUMIFS('2 stopień 20_21'!$I$9:$I$761,'2 stopień 20_21'!$G$9:$G$761,"DRM.02.",'2 stopień 20_21'!$K$9:$K$761,"CKZ Oleśnica")</f>
        <v>0</v>
      </c>
      <c r="N27" s="104">
        <f>SUMIFS('2 stopień 20_21'!$I$9:$I$761,'2 stopień 20_21'!$G$9:$G$761,"DRM.02.",'2 stopień 20_21'!$K$9:$K$761,"CKZ Świdnica")</f>
        <v>0</v>
      </c>
      <c r="O27" s="104">
        <f>SUMIFS('2 stopień 20_21'!$I$9:$I$761,'2 stopień 20_21'!$G$9:$G$761,"DRM.02.",'2 stopień 20_21'!$K$9:$K$761,"CKZ Wołów")</f>
        <v>0</v>
      </c>
      <c r="P27" s="104">
        <f>SUMIFS('2 stopień 20_21'!$I$9:$I$761,'2 stopień 20_21'!$G$9:$G$761,"DRM.02.",'2 stopień 20_21'!$K$9:$K$761,"CKZ Ziębice")</f>
        <v>0</v>
      </c>
      <c r="Q27" s="104">
        <f>SUMIFS('2 stopień 20_21'!$I$9:$I$761,'2 stopień 20_21'!$G$9:$G$761,"DRM.02.",'2 stopień 20_21'!$K$9:$K$761,"CKZ Dobrodzień")</f>
        <v>0</v>
      </c>
      <c r="R27" s="104">
        <f>SUMIFS('2 stopień 20_21'!$I$9:$I$761,'2 stopień 20_21'!$G$9:$G$761,"DRM.02.",'2 stopień 20_21'!$K$9:$K$761,"CKZ Głubczyce")</f>
        <v>0</v>
      </c>
      <c r="S27" s="104">
        <f>SUMIFS('2 stopień 20_21'!$I$9:$I$761,'2 stopień 20_21'!$G$9:$G$761,"DRM.02.",'2 stopień 20_21'!$K$9:$K$761,"CKZ Kędzierzyn Koźle")</f>
        <v>0</v>
      </c>
      <c r="T27" s="104">
        <f>SUMIFS('2 stopień 20_21'!$I$9:$I$761,'2 stopień 20_21'!$G$9:$G$761,"DRM.02.",'2 stopień 20_21'!$K$9:$K$761,"CKZ Kluczbork")</f>
        <v>0</v>
      </c>
      <c r="U27" s="104">
        <f>SUMIFS('2 stopień 20_21'!$I$9:$I$761,'2 stopień 20_21'!$G$9:$G$761,"DRM.02.",'2 stopień 20_21'!$K$9:$K$761,"CKZ Krotoszyn")</f>
        <v>0</v>
      </c>
      <c r="V27" s="104">
        <f>SUMIFS('2 stopień 20_21'!$I$9:$I$761,'2 stopień 20_21'!$G$9:$G$761,"DRM.02.",'2 stopień 20_21'!$K$9:$K$761,"CKZ Olkusz")</f>
        <v>0</v>
      </c>
      <c r="W27" s="104">
        <f>SUMIFS('2 stopień 20_21'!$I$9:$I$761,'2 stopień 20_21'!$G$9:$G$761,"DRM.02.",'2 stopień 20_21'!$K$9:$K$761,"CKZ Wschowa")</f>
        <v>0</v>
      </c>
      <c r="X27" s="104">
        <f>SUMIFS('2 stopień 20_21'!$I$9:$I$761,'2 stopień 20_21'!$G$9:$G$761,"DRM.02.",'2 stopień 20_21'!$K$9:$K$761,"CKZ Zielona Góra")</f>
        <v>0</v>
      </c>
      <c r="Y27" s="104">
        <f>SUMIFS('2 stopień 20_21'!$I$9:$I$761,'2 stopień 20_21'!$G$9:$G$761,"DRM.02.",'2 stopień 20_21'!$K$9:$K$761,"Rzemieślnicza Wałbrzych")</f>
        <v>0</v>
      </c>
      <c r="Z27" s="104">
        <f>SUMIFS('2 stopień 20_21'!$I$9:$I$761,'2 stopień 20_21'!$G$9:$G$761,"DRM.02.",'2 stopień 20_21'!$K$9:$K$761,"CKZ Mosina")</f>
        <v>0</v>
      </c>
      <c r="AA27" s="104">
        <f>SUMIFS('2 stopień 20_21'!$I$9:$I$761,'2 stopień 20_21'!$G$9:$G$761,"DRM.02.",'2 stopień 20_21'!$K$9:$K$761,"CKZ Słupsk")</f>
        <v>0</v>
      </c>
      <c r="AB27" s="104">
        <f>SUMIFS('2 stopień 20_21'!$I$9:$I$761,'2 stopień 20_21'!$G$9:$G$761,"DRM.02.",'2 stopień 20_21'!$K$9:$K$761,"CKZ Opole")</f>
        <v>0</v>
      </c>
      <c r="AC27" s="104">
        <f>SUMIFS('2 stopień 20_21'!$I$9:$I$761,'2 stopień 20_21'!$G$9:$G$761,"DRM.02.",'2 stopień 20_21'!$K$9:$K$761,"CKZ Wrocław")</f>
        <v>0</v>
      </c>
      <c r="AD27" s="104">
        <f>SUMIFS('2 stopień 20_21'!$I$9:$I$761,'2 stopień 20_21'!$G$9:$G$761,"DRM.02.",'2 stopień 20_21'!$K$9:$K$761,"Brzeg Dolny")</f>
        <v>0</v>
      </c>
      <c r="AE27" s="104">
        <f>SUMIFS('2 stopień 20_21'!$I$9:$I$761,'2 stopień 20_21'!$G$9:$G$761,"DRM.02.",'2 stopień 20_21'!$K$9:$K$761,"")</f>
        <v>0</v>
      </c>
      <c r="AF27" s="105">
        <f t="shared" si="0"/>
        <v>0</v>
      </c>
    </row>
    <row r="28" spans="2:32">
      <c r="B28" s="106" t="s">
        <v>609</v>
      </c>
      <c r="C28" s="107">
        <v>932918</v>
      </c>
      <c r="D28" s="107" t="s">
        <v>710</v>
      </c>
      <c r="E28" s="106" t="s">
        <v>709</v>
      </c>
      <c r="F28" s="103">
        <f>SUMIF('2 stopień 20_21'!G$9:G$761,"DRM.03.",'2 stopień 20_21'!I$9:I$761)</f>
        <v>0</v>
      </c>
      <c r="G28" s="104">
        <f>SUMIFS('2 stopień 20_21'!$I$9:$I$761,'2 stopień 20_21'!$G$9:$G$761,"DRM.03.",'2 stopień 20_21'!$K$9:$K$761,"CKZ Bielawa")</f>
        <v>0</v>
      </c>
      <c r="H28" s="104">
        <f>SUMIFS('2 stopień 20_21'!$I$9:$I$761,'2 stopień 20_21'!$G$9:$G$761,"DRM.03.",'2 stopień 20_21'!$K$9:$K$761,"GCKZ Głogów")</f>
        <v>0</v>
      </c>
      <c r="I28" s="104">
        <f>SUMIFS('2 stopień 20_21'!$I$9:$I$761,'2 stopień 20_21'!$G$9:$G$761,"DRM.03.",'2 stopień 20_21'!$K$9:$K$761,"CKZ Jawor")</f>
        <v>0</v>
      </c>
      <c r="J28" s="104">
        <f>SUMIFS('2 stopień 20_21'!$I$9:$I$761,'2 stopień 20_21'!$G$9:$G$761,"DRM.03.",'2 stopień 20_21'!$K$9:$K$761,"JCKZ Jelenia Góra")</f>
        <v>0</v>
      </c>
      <c r="K28" s="104">
        <f>SUMIFS('2 stopień 20_21'!$I$9:$I$761,'2 stopień 20_21'!$G$9:$G$761,"DRM.03.",'2 stopień 20_21'!$K$9:$K$761,"CKZ Kłodzko")</f>
        <v>0</v>
      </c>
      <c r="L28" s="104">
        <f>SUMIFS('2 stopień 20_21'!$I$9:$I$761,'2 stopień 20_21'!$G$9:$G$761,"DRM.03.",'2 stopień 20_21'!$K$9:$K$761,"CKZ Legnica")</f>
        <v>0</v>
      </c>
      <c r="M28" s="104">
        <f>SUMIFS('2 stopień 20_21'!$I$9:$I$761,'2 stopień 20_21'!$G$9:$G$761,"DRM.03.",'2 stopień 20_21'!$K$9:$K$761,"CKZ Oleśnica")</f>
        <v>0</v>
      </c>
      <c r="N28" s="104">
        <f>SUMIFS('2 stopień 20_21'!$I$9:$I$761,'2 stopień 20_21'!$G$9:$G$761,"DRM.03.",'2 stopień 20_21'!$K$9:$K$761,"CKZ Świdnica")</f>
        <v>0</v>
      </c>
      <c r="O28" s="104">
        <f>SUMIFS('2 stopień 20_21'!$I$9:$I$761,'2 stopień 20_21'!$G$9:$G$761,"DRM.03.",'2 stopień 20_21'!$K$9:$K$761,"CKZ Wołów")</f>
        <v>0</v>
      </c>
      <c r="P28" s="104">
        <f>SUMIFS('2 stopień 20_21'!$I$9:$I$761,'2 stopień 20_21'!$G$9:$G$761,"DRM.03.",'2 stopień 20_21'!$K$9:$K$761,"CKZ Ziębice")</f>
        <v>0</v>
      </c>
      <c r="Q28" s="104">
        <f>SUMIFS('2 stopień 20_21'!$I$9:$I$761,'2 stopień 20_21'!$G$9:$G$761,"DRM.03.",'2 stopień 20_21'!$K$9:$K$761,"CKZ Dobrodzień")</f>
        <v>0</v>
      </c>
      <c r="R28" s="104">
        <f>SUMIFS('2 stopień 20_21'!$I$9:$I$761,'2 stopień 20_21'!$G$9:$G$761,"DRM.03.",'2 stopień 20_21'!$K$9:$K$761,"CKZ Głubczyce")</f>
        <v>0</v>
      </c>
      <c r="S28" s="104">
        <f>SUMIFS('2 stopień 20_21'!$I$9:$I$761,'2 stopień 20_21'!$G$9:$G$761,"DRM.03.",'2 stopień 20_21'!$K$9:$K$761,"CKZ Kędzierzyn Koźle")</f>
        <v>0</v>
      </c>
      <c r="T28" s="104">
        <f>SUMIFS('2 stopień 20_21'!$I$9:$I$761,'2 stopień 20_21'!$G$9:$G$761,"DRM.03.",'2 stopień 20_21'!$K$9:$K$761,"CKZ Kluczbork")</f>
        <v>0</v>
      </c>
      <c r="U28" s="104">
        <f>SUMIFS('2 stopień 20_21'!$I$9:$I$761,'2 stopień 20_21'!$G$9:$G$761,"DRM.03.",'2 stopień 20_21'!$K$9:$K$761,"CKZ Krotoszyn")</f>
        <v>0</v>
      </c>
      <c r="V28" s="104">
        <f>SUMIFS('2 stopień 20_21'!$I$9:$I$761,'2 stopień 20_21'!$G$9:$G$761,"DRM.03.",'2 stopień 20_21'!$K$9:$K$761,"CKZ Olkusz")</f>
        <v>0</v>
      </c>
      <c r="W28" s="104">
        <f>SUMIFS('2 stopień 20_21'!$I$9:$I$761,'2 stopień 20_21'!$G$9:$G$761,"DRM.03.",'2 stopień 20_21'!$K$9:$K$761,"CKZ Wschowa")</f>
        <v>0</v>
      </c>
      <c r="X28" s="104">
        <f>SUMIFS('2 stopień 20_21'!$I$9:$I$761,'2 stopień 20_21'!$G$9:$G$761,"DRM.03.",'2 stopień 20_21'!$K$9:$K$761,"CKZ Zielona Góra")</f>
        <v>0</v>
      </c>
      <c r="Y28" s="104">
        <f>SUMIFS('2 stopień 20_21'!$I$9:$I$761,'2 stopień 20_21'!$G$9:$G$761,"DRM.03.",'2 stopień 20_21'!$K$9:$K$761,"Rzemieślnicza Wałbrzych")</f>
        <v>0</v>
      </c>
      <c r="Z28" s="104">
        <f>SUMIFS('2 stopień 20_21'!$I$9:$I$761,'2 stopień 20_21'!$G$9:$G$761,"DRM.03.",'2 stopień 20_21'!$K$9:$K$761,"CKZ Mosina")</f>
        <v>0</v>
      </c>
      <c r="AA28" s="104">
        <f>SUMIFS('2 stopień 20_21'!$I$9:$I$761,'2 stopień 20_21'!$G$9:$G$761,"DRM.03.",'2 stopień 20_21'!$K$9:$K$761,"CKZ Słupsk")</f>
        <v>0</v>
      </c>
      <c r="AB28" s="104">
        <f>SUMIFS('2 stopień 20_21'!$I$9:$I$761,'2 stopień 20_21'!$G$9:$G$761,"DRM.03.",'2 stopień 20_21'!$K$9:$K$761,"CKZ Opole")</f>
        <v>0</v>
      </c>
      <c r="AC28" s="104">
        <f>SUMIFS('2 stopień 20_21'!$I$9:$I$761,'2 stopień 20_21'!$G$9:$G$761,"DRM.03.",'2 stopień 20_21'!$K$9:$K$761,"CKZ Wrocław")</f>
        <v>0</v>
      </c>
      <c r="AD28" s="104">
        <f>SUMIFS('2 stopień 20_21'!$I$9:$I$761,'2 stopień 20_21'!$G$9:$G$761,"DRM.03.",'2 stopień 20_21'!$K$9:$K$761,"Brzeg Dolny")</f>
        <v>0</v>
      </c>
      <c r="AE28" s="104">
        <f>SUMIFS('2 stopień 20_21'!$I$9:$I$761,'2 stopień 20_21'!$G$9:$G$761,"DRM.03.",'2 stopień 20_21'!$K$9:$K$761,"")</f>
        <v>0</v>
      </c>
      <c r="AF28" s="105">
        <f t="shared" si="0"/>
        <v>0</v>
      </c>
    </row>
    <row r="29" spans="2:32">
      <c r="B29" s="106" t="s">
        <v>91</v>
      </c>
      <c r="C29" s="107">
        <v>752205</v>
      </c>
      <c r="D29" s="107" t="s">
        <v>69</v>
      </c>
      <c r="E29" s="106" t="s">
        <v>711</v>
      </c>
      <c r="F29" s="103">
        <f>SUMIF('2 stopień 20_21'!G$9:G$761,"DRM.04.",'2 stopień 20_21'!I$9:I$761)</f>
        <v>109</v>
      </c>
      <c r="G29" s="104">
        <f>SUMIFS('2 stopień 20_21'!$I$9:$I$761,'2 stopień 20_21'!$G$9:$G$761,"DRM.04.",'2 stopień 20_21'!$K$9:$K$761,"CKZ Bielawa")</f>
        <v>0</v>
      </c>
      <c r="H29" s="104">
        <f>SUMIFS('2 stopień 20_21'!$I$9:$I$761,'2 stopień 20_21'!$G$9:$G$761,"DRM.04.",'2 stopień 20_21'!$K$9:$K$761,"GCKZ Głogów")</f>
        <v>0</v>
      </c>
      <c r="I29" s="104">
        <f>SUMIFS('2 stopień 20_21'!$I$9:$I$761,'2 stopień 20_21'!$G$9:$G$761,"DRM.04.",'2 stopień 20_21'!$K$9:$K$761,"CKZ Jawor")</f>
        <v>0</v>
      </c>
      <c r="J29" s="104">
        <f>SUMIFS('2 stopień 20_21'!$I$9:$I$761,'2 stopień 20_21'!$G$9:$G$761,"DRM.04.",'2 stopień 20_21'!$K$9:$K$761,"JCKZ Jelenia Góra")</f>
        <v>0</v>
      </c>
      <c r="K29" s="104">
        <f>SUMIFS('2 stopień 20_21'!$I$9:$I$761,'2 stopień 20_21'!$G$9:$G$761,"DRM.04.",'2 stopień 20_21'!$K$9:$K$761,"CKZ Kłodzko")</f>
        <v>0</v>
      </c>
      <c r="L29" s="104">
        <f>SUMIFS('2 stopień 20_21'!$I$9:$I$761,'2 stopień 20_21'!$G$9:$G$761,"DRM.04.",'2 stopień 20_21'!$K$9:$K$761,"CKZ Legnica")</f>
        <v>0</v>
      </c>
      <c r="M29" s="104">
        <f>SUMIFS('2 stopień 20_21'!$I$9:$I$761,'2 stopień 20_21'!$G$9:$G$761,"DRM.04.",'2 stopień 20_21'!$K$9:$K$761,"CKZ Oleśnica")</f>
        <v>48</v>
      </c>
      <c r="N29" s="104">
        <f>SUMIFS('2 stopień 20_21'!$I$9:$I$761,'2 stopień 20_21'!$G$9:$G$761,"DRM.04.",'2 stopień 20_21'!$K$9:$K$761,"CKZ Świdnica")</f>
        <v>34</v>
      </c>
      <c r="O29" s="104">
        <f>SUMIFS('2 stopień 20_21'!$I$9:$I$761,'2 stopień 20_21'!$G$9:$G$761,"DRM.04.",'2 stopień 20_21'!$K$9:$K$761,"CKZ Wołów")</f>
        <v>10</v>
      </c>
      <c r="P29" s="104">
        <f>SUMIFS('2 stopień 20_21'!$I$9:$I$761,'2 stopień 20_21'!$G$9:$G$761,"DRM.04.",'2 stopień 20_21'!$K$9:$K$761,"CKZ Ziębice")</f>
        <v>0</v>
      </c>
      <c r="Q29" s="104">
        <f>SUMIFS('2 stopień 20_21'!$I$9:$I$761,'2 stopień 20_21'!$G$9:$G$761,"DRM.04.",'2 stopień 20_21'!$K$9:$K$761,"CKZ Dobrodzień")</f>
        <v>0</v>
      </c>
      <c r="R29" s="104">
        <f>SUMIFS('2 stopień 20_21'!$I$9:$I$761,'2 stopień 20_21'!$G$9:$G$761,"DRM.04.",'2 stopień 20_21'!$K$9:$K$761,"CKZ Głubczyce")</f>
        <v>0</v>
      </c>
      <c r="S29" s="104">
        <f>SUMIFS('2 stopień 20_21'!$I$9:$I$761,'2 stopień 20_21'!$G$9:$G$761,"DRM.04.",'2 stopień 20_21'!$K$9:$K$761,"CKZ Kędzierzyn Koźle")</f>
        <v>0</v>
      </c>
      <c r="T29" s="104">
        <f>SUMIFS('2 stopień 20_21'!$I$9:$I$761,'2 stopień 20_21'!$G$9:$G$761,"DRM.04.",'2 stopień 20_21'!$K$9:$K$761,"CKZ Kluczbork")</f>
        <v>0</v>
      </c>
      <c r="U29" s="104">
        <f>SUMIFS('2 stopień 20_21'!$I$9:$I$761,'2 stopień 20_21'!$G$9:$G$761,"DRM.04.",'2 stopień 20_21'!$K$9:$K$761,"CKZ Krotoszyn")</f>
        <v>0</v>
      </c>
      <c r="V29" s="104">
        <f>SUMIFS('2 stopień 20_21'!$I$9:$I$761,'2 stopień 20_21'!$G$9:$G$761,"DRM.04.",'2 stopień 20_21'!$K$9:$K$761,"CKZ Olkusz")</f>
        <v>0</v>
      </c>
      <c r="W29" s="104">
        <f>SUMIFS('2 stopień 20_21'!$I$9:$I$761,'2 stopień 20_21'!$G$9:$G$761,"DRM.04.",'2 stopień 20_21'!$K$9:$K$761,"CKZ Wschowa")</f>
        <v>17</v>
      </c>
      <c r="X29" s="104">
        <f>SUMIFS('2 stopień 20_21'!$I$9:$I$761,'2 stopień 20_21'!$G$9:$G$761,"DRM.04.",'2 stopień 20_21'!$K$9:$K$761,"CKZ Zielona Góra")</f>
        <v>0</v>
      </c>
      <c r="Y29" s="104">
        <f>SUMIFS('2 stopień 20_21'!$I$9:$I$761,'2 stopień 20_21'!$G$9:$G$761,"DRM.04.",'2 stopień 20_21'!$K$9:$K$761,"Rzemieślnicza Wałbrzych")</f>
        <v>0</v>
      </c>
      <c r="Z29" s="104">
        <f>SUMIFS('2 stopień 20_21'!$I$9:$I$761,'2 stopień 20_21'!$G$9:$G$761,"DRM.04.",'2 stopień 20_21'!$K$9:$K$761,"CKZ Mosina")</f>
        <v>0</v>
      </c>
      <c r="AA29" s="104">
        <f>SUMIFS('2 stopień 20_21'!$I$9:$I$761,'2 stopień 20_21'!$G$9:$G$761,"DRM.04.",'2 stopień 20_21'!$K$9:$K$761,"CKZ Słupsk")</f>
        <v>0</v>
      </c>
      <c r="AB29" s="104">
        <f>SUMIFS('2 stopień 20_21'!$I$9:$I$761,'2 stopień 20_21'!$G$9:$G$761,"DRM.04.",'2 stopień 20_21'!$K$9:$K$761,"CKZ Opole")</f>
        <v>0</v>
      </c>
      <c r="AC29" s="104">
        <f>SUMIFS('2 stopień 20_21'!$I$9:$I$761,'2 stopień 20_21'!$G$9:$G$761,"DRM.04.",'2 stopień 20_21'!$K$9:$K$761,"CKZ Wrocław")</f>
        <v>0</v>
      </c>
      <c r="AD29" s="104">
        <f>SUMIFS('2 stopień 20_21'!$I$9:$I$761,'2 stopień 20_21'!$G$9:$G$761,"DRM.04.",'2 stopień 20_21'!$K$9:$K$761,"Brzeg Dolny")</f>
        <v>0</v>
      </c>
      <c r="AE29" s="104">
        <f>SUMIFS('2 stopień 20_21'!$I$9:$I$761,'2 stopień 20_21'!$G$9:$G$761,"DRM.04.",'2 stopień 20_21'!$K$9:$K$761,"")</f>
        <v>0</v>
      </c>
      <c r="AF29" s="105">
        <f t="shared" si="0"/>
        <v>109</v>
      </c>
    </row>
    <row r="30" spans="2:32">
      <c r="B30" s="106" t="s">
        <v>218</v>
      </c>
      <c r="C30" s="107">
        <v>753402</v>
      </c>
      <c r="D30" s="107" t="s">
        <v>713</v>
      </c>
      <c r="E30" s="106" t="s">
        <v>712</v>
      </c>
      <c r="F30" s="103">
        <f>SUMIF('2 stopień 20_21'!G$9:G$761,"DRM.05.",'2 stopień 20_21'!I$9:I$761)</f>
        <v>90</v>
      </c>
      <c r="G30" s="104">
        <f>SUMIFS('2 stopień 20_21'!$I$9:$I$761,'2 stopień 20_21'!$G$9:$G$761,"DRM.05.",'2 stopień 20_21'!$K$9:$K$761,"CKZ Bielawa")</f>
        <v>0</v>
      </c>
      <c r="H30" s="104">
        <f>SUMIFS('2 stopień 20_21'!$I$9:$I$761,'2 stopień 20_21'!$G$9:$G$761,"DRM.05.",'2 stopień 20_21'!$K$9:$K$761,"GCKZ Głogów")</f>
        <v>0</v>
      </c>
      <c r="I30" s="104">
        <f>SUMIFS('2 stopień 20_21'!$I$9:$I$761,'2 stopień 20_21'!$G$9:$G$761,"DRM.05.",'2 stopień 20_21'!$K$9:$K$761,"CKZ Jawor")</f>
        <v>0</v>
      </c>
      <c r="J30" s="104">
        <f>SUMIFS('2 stopień 20_21'!$I$9:$I$761,'2 stopień 20_21'!$G$9:$G$761,"DRM.05.",'2 stopień 20_21'!$K$9:$K$761,"JCKZ Jelenia Góra")</f>
        <v>0</v>
      </c>
      <c r="K30" s="104">
        <f>SUMIFS('2 stopień 20_21'!$I$9:$I$761,'2 stopień 20_21'!$G$9:$G$761,"DRM.05.",'2 stopień 20_21'!$K$9:$K$761,"CKZ Kłodzko")</f>
        <v>0</v>
      </c>
      <c r="L30" s="104">
        <f>SUMIFS('2 stopień 20_21'!$I$9:$I$761,'2 stopień 20_21'!$G$9:$G$761,"DRM.05.",'2 stopień 20_21'!$K$9:$K$761,"CKZ Legnica")</f>
        <v>0</v>
      </c>
      <c r="M30" s="104">
        <f>SUMIFS('2 stopień 20_21'!$I$9:$I$761,'2 stopień 20_21'!$G$9:$G$761,"DRM.05.",'2 stopień 20_21'!$K$9:$K$761,"CKZ Oleśnica")</f>
        <v>77</v>
      </c>
      <c r="N30" s="104">
        <f>SUMIFS('2 stopień 20_21'!$I$9:$I$761,'2 stopień 20_21'!$G$9:$G$761,"DRM.05.",'2 stopień 20_21'!$K$9:$K$761,"CKZ Świdnica")</f>
        <v>0</v>
      </c>
      <c r="O30" s="104">
        <f>SUMIFS('2 stopień 20_21'!$I$9:$I$761,'2 stopień 20_21'!$G$9:$G$761,"DRM.05.",'2 stopień 20_21'!$K$9:$K$761,"CKZ Wołów")</f>
        <v>0</v>
      </c>
      <c r="P30" s="104">
        <f>SUMIFS('2 stopień 20_21'!$I$9:$I$761,'2 stopień 20_21'!$G$9:$G$761,"DRM.05.",'2 stopień 20_21'!$K$9:$K$761,"CKZ Ziębice")</f>
        <v>0</v>
      </c>
      <c r="Q30" s="104">
        <f>SUMIFS('2 stopień 20_21'!$I$9:$I$761,'2 stopień 20_21'!$G$9:$G$761,"DRM.05.",'2 stopień 20_21'!$K$9:$K$761,"CKZ Dobrodzień")</f>
        <v>13</v>
      </c>
      <c r="R30" s="104">
        <f>SUMIFS('2 stopień 20_21'!$I$9:$I$761,'2 stopień 20_21'!$G$9:$G$761,"DRM.05.",'2 stopień 20_21'!$K$9:$K$761,"CKZ Głubczyce")</f>
        <v>0</v>
      </c>
      <c r="S30" s="104">
        <f>SUMIFS('2 stopień 20_21'!$I$9:$I$761,'2 stopień 20_21'!$G$9:$G$761,"DRM.05.",'2 stopień 20_21'!$K$9:$K$761,"CKZ Kędzierzyn Koźle")</f>
        <v>0</v>
      </c>
      <c r="T30" s="104">
        <f>SUMIFS('2 stopień 20_21'!$I$9:$I$761,'2 stopień 20_21'!$G$9:$G$761,"DRM.05.",'2 stopień 20_21'!$K$9:$K$761,"CKZ Kluczbork")</f>
        <v>0</v>
      </c>
      <c r="U30" s="104">
        <f>SUMIFS('2 stopień 20_21'!$I$9:$I$761,'2 stopień 20_21'!$G$9:$G$761,"DRM.05.",'2 stopień 20_21'!$K$9:$K$761,"CKZ Krotoszyn")</f>
        <v>0</v>
      </c>
      <c r="V30" s="104">
        <f>SUMIFS('2 stopień 20_21'!$I$9:$I$761,'2 stopień 20_21'!$G$9:$G$761,"DRM.05.",'2 stopień 20_21'!$K$9:$K$761,"CKZ Olkusz")</f>
        <v>0</v>
      </c>
      <c r="W30" s="104">
        <f>SUMIFS('2 stopień 20_21'!$I$9:$I$761,'2 stopień 20_21'!$G$9:$G$761,"DRM.05.",'2 stopień 20_21'!$K$9:$K$761,"CKZ Wschowa")</f>
        <v>0</v>
      </c>
      <c r="X30" s="104">
        <f>SUMIFS('2 stopień 20_21'!$I$9:$I$761,'2 stopień 20_21'!$G$9:$G$761,"DRM.05.",'2 stopień 20_21'!$K$9:$K$761,"CKZ Zielona Góra")</f>
        <v>0</v>
      </c>
      <c r="Y30" s="104">
        <f>SUMIFS('2 stopień 20_21'!$I$9:$I$761,'2 stopień 20_21'!$G$9:$G$761,"DRM.05.",'2 stopień 20_21'!$K$9:$K$761,"Rzemieślnicza Wałbrzych")</f>
        <v>0</v>
      </c>
      <c r="Z30" s="104">
        <f>SUMIFS('2 stopień 20_21'!$I$9:$I$761,'2 stopień 20_21'!$G$9:$G$761,"DRM.05.",'2 stopień 20_21'!$K$9:$K$761,"CKZ Mosina")</f>
        <v>0</v>
      </c>
      <c r="AA30" s="104">
        <f>SUMIFS('2 stopień 20_21'!$I$9:$I$761,'2 stopień 20_21'!$G$9:$G$761,"DRM.05.",'2 stopień 20_21'!$K$9:$K$761,"CKZ Słupsk")</f>
        <v>0</v>
      </c>
      <c r="AB30" s="104">
        <f>SUMIFS('2 stopień 20_21'!$I$9:$I$761,'2 stopień 20_21'!$G$9:$G$761,"DRM.05.",'2 stopień 20_21'!$K$9:$K$761,"CKZ Opole")</f>
        <v>0</v>
      </c>
      <c r="AC30" s="104">
        <f>SUMIFS('2 stopień 20_21'!$I$9:$I$761,'2 stopień 20_21'!$G$9:$G$761,"DRM.05.",'2 stopień 20_21'!$K$9:$K$761,"CKZ Wrocław")</f>
        <v>0</v>
      </c>
      <c r="AD30" s="104">
        <f>SUMIFS('2 stopień 20_21'!$I$9:$I$761,'2 stopień 20_21'!$G$9:$G$761,"DRM.05.",'2 stopień 20_21'!$K$9:$K$761,"Brzeg Dolny")</f>
        <v>0</v>
      </c>
      <c r="AE30" s="104">
        <f>SUMIFS('2 stopień 20_21'!$I$9:$I$761,'2 stopień 20_21'!$G$9:$G$761,"DRM.05.",'2 stopień 20_21'!$K$9:$K$761,"")</f>
        <v>0</v>
      </c>
      <c r="AF30" s="105">
        <f t="shared" si="0"/>
        <v>90</v>
      </c>
    </row>
    <row r="31" spans="2:32">
      <c r="B31" s="106" t="s">
        <v>239</v>
      </c>
      <c r="C31" s="107">
        <v>741201</v>
      </c>
      <c r="D31" s="107" t="s">
        <v>182</v>
      </c>
      <c r="E31" s="106" t="s">
        <v>714</v>
      </c>
      <c r="F31" s="103">
        <f>SUMIF('2 stopień 20_21'!G$9:G$761,"ELE.01.",'2 stopień 20_21'!I$9:I$761)</f>
        <v>35</v>
      </c>
      <c r="G31" s="104">
        <f>SUMIFS('2 stopień 20_21'!$I$9:$I$761,'2 stopień 20_21'!$G$9:$G$761,"ELE.01.",'2 stopień 20_21'!$K$9:$K$761,"CKZ Bielawa")</f>
        <v>0</v>
      </c>
      <c r="H31" s="104">
        <f>SUMIFS('2 stopień 20_21'!$I$9:$I$761,'2 stopień 20_21'!$G$9:$G$761,"ELE.01.",'2 stopień 20_21'!$K$9:$K$761,"GCKZ Głogów")</f>
        <v>0</v>
      </c>
      <c r="I31" s="104">
        <f>SUMIFS('2 stopień 20_21'!$I$9:$I$761,'2 stopień 20_21'!$G$9:$G$761,"ELE.01.",'2 stopień 20_21'!$K$9:$K$761,"CKZ Jawor")</f>
        <v>0</v>
      </c>
      <c r="J31" s="104">
        <f>SUMIFS('2 stopień 20_21'!$I$9:$I$761,'2 stopień 20_21'!$G$9:$G$761,"ELE.01.",'2 stopień 20_21'!$K$9:$K$761,"JCKZ Jelenia Góra")</f>
        <v>0</v>
      </c>
      <c r="K31" s="104">
        <f>SUMIFS('2 stopień 20_21'!$I$9:$I$761,'2 stopień 20_21'!$G$9:$G$761,"ELE.01.",'2 stopień 20_21'!$K$9:$K$761,"CKZ Kłodzko")</f>
        <v>0</v>
      </c>
      <c r="L31" s="104">
        <f>SUMIFS('2 stopień 20_21'!$I$9:$I$761,'2 stopień 20_21'!$G$9:$G$761,"ELE.01.",'2 stopień 20_21'!$K$9:$K$761,"CKZ Legnica")</f>
        <v>0</v>
      </c>
      <c r="M31" s="104">
        <f>SUMIFS('2 stopień 20_21'!$I$9:$I$761,'2 stopień 20_21'!$G$9:$G$761,"ELE.01.",'2 stopień 20_21'!$K$9:$K$761,"CKZ Oleśnica")</f>
        <v>0</v>
      </c>
      <c r="N31" s="104">
        <f>SUMIFS('2 stopień 20_21'!$I$9:$I$761,'2 stopień 20_21'!$G$9:$G$761,"ELE.01.",'2 stopień 20_21'!$K$9:$K$761,"CKZ Świdnica")</f>
        <v>0</v>
      </c>
      <c r="O31" s="104">
        <f>SUMIFS('2 stopień 20_21'!$I$9:$I$761,'2 stopień 20_21'!$G$9:$G$761,"ELE.01.",'2 stopień 20_21'!$K$9:$K$761,"CKZ Wołów")</f>
        <v>0</v>
      </c>
      <c r="P31" s="104">
        <f>SUMIFS('2 stopień 20_21'!$I$9:$I$761,'2 stopień 20_21'!$G$9:$G$761,"ELE.01.",'2 stopień 20_21'!$K$9:$K$761,"CKZ Ziębice")</f>
        <v>0</v>
      </c>
      <c r="Q31" s="104">
        <f>SUMIFS('2 stopień 20_21'!$I$9:$I$761,'2 stopień 20_21'!$G$9:$G$761,"ELE.01.",'2 stopień 20_21'!$K$9:$K$761,"CKZ Dobrodzień")</f>
        <v>0</v>
      </c>
      <c r="R31" s="104">
        <f>SUMIFS('2 stopień 20_21'!$I$9:$I$761,'2 stopień 20_21'!$G$9:$G$761,"ELE.01.",'2 stopień 20_21'!$K$9:$K$761,"CKZ Głubczyce")</f>
        <v>10</v>
      </c>
      <c r="S31" s="104">
        <f>SUMIFS('2 stopień 20_21'!$I$9:$I$761,'2 stopień 20_21'!$G$9:$G$761,"ELE.01.",'2 stopień 20_21'!$K$9:$K$761,"CKZ Kędzierzyn Koźle")</f>
        <v>0</v>
      </c>
      <c r="T31" s="104">
        <f>SUMIFS('2 stopień 20_21'!$I$9:$I$761,'2 stopień 20_21'!$G$9:$G$761,"ELE.01.",'2 stopień 20_21'!$K$9:$K$761,"CKZ Kluczbork")</f>
        <v>0</v>
      </c>
      <c r="U31" s="104">
        <f>SUMIFS('2 stopień 20_21'!$I$9:$I$761,'2 stopień 20_21'!$G$9:$G$761,"ELE.01.",'2 stopień 20_21'!$K$9:$K$761,"CKZ Krotoszyn")</f>
        <v>2</v>
      </c>
      <c r="V31" s="104">
        <f>SUMIFS('2 stopień 20_21'!$I$9:$I$761,'2 stopień 20_21'!$G$9:$G$761,"ELE.01.",'2 stopień 20_21'!$K$9:$K$761,"CKZ Olkusz")</f>
        <v>0</v>
      </c>
      <c r="W31" s="104">
        <f>SUMIFS('2 stopień 20_21'!$I$9:$I$761,'2 stopień 20_21'!$G$9:$G$761,"ELE.01.",'2 stopień 20_21'!$K$9:$K$761,"CKZ Wschowa")</f>
        <v>22</v>
      </c>
      <c r="X31" s="104">
        <f>SUMIFS('2 stopień 20_21'!$I$9:$I$761,'2 stopień 20_21'!$G$9:$G$761,"ELE.01.",'2 stopień 20_21'!$K$9:$K$761,"CKZ Zielona Góra")</f>
        <v>0</v>
      </c>
      <c r="Y31" s="104">
        <f>SUMIFS('2 stopień 20_21'!$I$9:$I$761,'2 stopień 20_21'!$G$9:$G$761,"ELE.01.",'2 stopień 20_21'!$K$9:$K$761,"Rzemieślnicza Wałbrzych")</f>
        <v>0</v>
      </c>
      <c r="Z31" s="104">
        <f>SUMIFS('2 stopień 20_21'!$I$9:$I$761,'2 stopień 20_21'!$G$9:$G$761,"ELE.01.",'2 stopień 20_21'!$K$9:$K$761,"CKZ Mosina")</f>
        <v>0</v>
      </c>
      <c r="AA31" s="104">
        <f>SUMIFS('2 stopień 20_21'!$I$9:$I$761,'2 stopień 20_21'!$G$9:$G$761,"ELE.01.",'2 stopień 20_21'!$K$9:$K$761,"CKZ Słupsk")</f>
        <v>0</v>
      </c>
      <c r="AB31" s="104">
        <f>SUMIFS('2 stopień 20_21'!$I$9:$I$761,'2 stopień 20_21'!$G$9:$G$761,"ELE.01.",'2 stopień 20_21'!$K$9:$K$761,"CKZ Opole")</f>
        <v>1</v>
      </c>
      <c r="AC31" s="104">
        <f>SUMIFS('2 stopień 20_21'!$I$9:$I$761,'2 stopień 20_21'!$G$9:$G$761,"ELE.01.",'2 stopień 20_21'!$K$9:$K$761,"CKZ Wrocław")</f>
        <v>0</v>
      </c>
      <c r="AD31" s="104">
        <f>SUMIFS('2 stopień 20_21'!$I$9:$I$761,'2 stopień 20_21'!$G$9:$G$761,"ELE.01.",'2 stopień 20_21'!$K$9:$K$761,"Brzeg Dolny")</f>
        <v>0</v>
      </c>
      <c r="AE31" s="104">
        <f>SUMIFS('2 stopień 20_21'!$I$9:$I$761,'2 stopień 20_21'!$G$9:$G$761,"ELE.01.",'2 stopień 20_21'!$K$9:$K$761,"")</f>
        <v>0</v>
      </c>
      <c r="AF31" s="105">
        <f t="shared" si="0"/>
        <v>35</v>
      </c>
    </row>
    <row r="32" spans="2:32">
      <c r="B32" s="106" t="s">
        <v>87</v>
      </c>
      <c r="C32" s="107">
        <v>741103</v>
      </c>
      <c r="D32" s="107" t="s">
        <v>716</v>
      </c>
      <c r="E32" s="106" t="s">
        <v>715</v>
      </c>
      <c r="F32" s="103">
        <f>SUMIF('2 stopień 20_21'!G$9:G$761,"ELE.02.",'2 stopień 20_21'!I$9:I$761)</f>
        <v>120</v>
      </c>
      <c r="G32" s="104">
        <f>SUMIFS('2 stopień 20_21'!$I$9:$I$761,'2 stopień 20_21'!$G$9:$G$761,"ELE.02.",'2 stopień 20_21'!$K$9:$K$761,"CKZ Bielawa")</f>
        <v>0</v>
      </c>
      <c r="H32" s="104">
        <f>SUMIFS('2 stopień 20_21'!$I$9:$I$761,'2 stopień 20_21'!$G$9:$G$761,"ELE.02.",'2 stopień 20_21'!$K$9:$K$761,"GCKZ Głogów")</f>
        <v>0</v>
      </c>
      <c r="I32" s="104">
        <f>SUMIFS('2 stopień 20_21'!$I$9:$I$761,'2 stopień 20_21'!$G$9:$G$761,"ELE.02.",'2 stopień 20_21'!$K$9:$K$761,"CKZ Jawor")</f>
        <v>0</v>
      </c>
      <c r="J32" s="104">
        <f>SUMIFS('2 stopień 20_21'!$I$9:$I$761,'2 stopień 20_21'!$G$9:$G$761,"ELE.02.",'2 stopień 20_21'!$K$9:$K$761,"JCKZ Jelenia Góra")</f>
        <v>0</v>
      </c>
      <c r="K32" s="104">
        <f>SUMIFS('2 stopień 20_21'!$I$9:$I$761,'2 stopień 20_21'!$G$9:$G$761,"ELE.02.",'2 stopień 20_21'!$K$9:$K$761,"CKZ Kłodzko")</f>
        <v>0</v>
      </c>
      <c r="L32" s="104">
        <f>SUMIFS('2 stopień 20_21'!$I$9:$I$761,'2 stopień 20_21'!$G$9:$G$761,"ELE.02.",'2 stopień 20_21'!$K$9:$K$761,"CKZ Legnica")</f>
        <v>0</v>
      </c>
      <c r="M32" s="104">
        <f>SUMIFS('2 stopień 20_21'!$I$9:$I$761,'2 stopień 20_21'!$G$9:$G$761,"ELE.02.",'2 stopień 20_21'!$K$9:$K$761,"CKZ Oleśnica")</f>
        <v>44</v>
      </c>
      <c r="N32" s="104">
        <f>SUMIFS('2 stopień 20_21'!$I$9:$I$761,'2 stopień 20_21'!$G$9:$G$761,"ELE.02.",'2 stopień 20_21'!$K$9:$K$761,"CKZ Świdnica")</f>
        <v>46</v>
      </c>
      <c r="O32" s="104">
        <f>SUMIFS('2 stopień 20_21'!$I$9:$I$761,'2 stopień 20_21'!$G$9:$G$761,"ELE.02.",'2 stopień 20_21'!$K$9:$K$761,"CKZ Wołów")</f>
        <v>0</v>
      </c>
      <c r="P32" s="104">
        <f>SUMIFS('2 stopień 20_21'!$I$9:$I$761,'2 stopień 20_21'!$G$9:$G$761,"ELE.02.",'2 stopień 20_21'!$K$9:$K$761,"CKZ Ziębice")</f>
        <v>0</v>
      </c>
      <c r="Q32" s="104">
        <f>SUMIFS('2 stopień 20_21'!$I$9:$I$761,'2 stopień 20_21'!$G$9:$G$761,"ELE.02.",'2 stopień 20_21'!$K$9:$K$761,"CKZ Dobrodzień")</f>
        <v>0</v>
      </c>
      <c r="R32" s="104">
        <f>SUMIFS('2 stopień 20_21'!$I$9:$I$761,'2 stopień 20_21'!$G$9:$G$761,"ELE.02.",'2 stopień 20_21'!$K$9:$K$761,"CKZ Głubczyce")</f>
        <v>9</v>
      </c>
      <c r="S32" s="104">
        <f>SUMIFS('2 stopień 20_21'!$I$9:$I$761,'2 stopień 20_21'!$G$9:$G$761,"ELE.02.",'2 stopień 20_21'!$K$9:$K$761,"CKZ Kędzierzyn Koźle")</f>
        <v>0</v>
      </c>
      <c r="T32" s="104">
        <f>SUMIFS('2 stopień 20_21'!$I$9:$I$761,'2 stopień 20_21'!$G$9:$G$761,"ELE.02.",'2 stopień 20_21'!$K$9:$K$761,"CKZ Kluczbork")</f>
        <v>0</v>
      </c>
      <c r="U32" s="104">
        <f>SUMIFS('2 stopień 20_21'!$I$9:$I$761,'2 stopień 20_21'!$G$9:$G$761,"ELE.02.",'2 stopień 20_21'!$K$9:$K$761,"CKZ Krotoszyn")</f>
        <v>0</v>
      </c>
      <c r="V32" s="104">
        <f>SUMIFS('2 stopień 20_21'!$I$9:$I$761,'2 stopień 20_21'!$G$9:$G$761,"ELE.02.",'2 stopień 20_21'!$K$9:$K$761,"CKZ Olkusz")</f>
        <v>0</v>
      </c>
      <c r="W32" s="104">
        <f>SUMIFS('2 stopień 20_21'!$I$9:$I$761,'2 stopień 20_21'!$G$9:$G$761,"ELE.02.",'2 stopień 20_21'!$K$9:$K$761,"CKZ Wschowa")</f>
        <v>21</v>
      </c>
      <c r="X32" s="104">
        <f>SUMIFS('2 stopień 20_21'!$I$9:$I$761,'2 stopień 20_21'!$G$9:$G$761,"ELE.02.",'2 stopień 20_21'!$K$9:$K$761,"CKZ Zielona Góra")</f>
        <v>0</v>
      </c>
      <c r="Y32" s="104">
        <f>SUMIFS('2 stopień 20_21'!$I$9:$I$761,'2 stopień 20_21'!$G$9:$G$761,"ELE.02.",'2 stopień 20_21'!$K$9:$K$761,"Rzemieślnicza Wałbrzych")</f>
        <v>0</v>
      </c>
      <c r="Z32" s="104">
        <f>SUMIFS('2 stopień 20_21'!$I$9:$I$761,'2 stopień 20_21'!$G$9:$G$761,"ELE.02.",'2 stopień 20_21'!$K$9:$K$761,"CKZ Mosina")</f>
        <v>0</v>
      </c>
      <c r="AA32" s="104">
        <f>SUMIFS('2 stopień 20_21'!$I$9:$I$761,'2 stopień 20_21'!$G$9:$G$761,"ELE.02.",'2 stopień 20_21'!$K$9:$K$761,"CKZ Słupsk")</f>
        <v>0</v>
      </c>
      <c r="AB32" s="104">
        <f>SUMIFS('2 stopień 20_21'!$I$9:$I$761,'2 stopień 20_21'!$G$9:$G$761,"ELE.02.",'2 stopień 20_21'!$K$9:$K$761,"CKZ Opole")</f>
        <v>0</v>
      </c>
      <c r="AC32" s="104">
        <f>SUMIFS('2 stopień 20_21'!$I$9:$I$761,'2 stopień 20_21'!$G$9:$G$761,"ELE.02.",'2 stopień 20_21'!$K$9:$K$761,"CKZ Wrocław")</f>
        <v>0</v>
      </c>
      <c r="AD32" s="104">
        <f>SUMIFS('2 stopień 20_21'!$I$9:$I$761,'2 stopień 20_21'!$G$9:$G$761,"ELE.02.",'2 stopień 20_21'!$K$9:$K$761,"Brzeg Dolny")</f>
        <v>0</v>
      </c>
      <c r="AE32" s="104">
        <f>SUMIFS('2 stopień 20_21'!$I$9:$I$761,'2 stopień 20_21'!$G$9:$G$761,"ELE.02.",'2 stopień 20_21'!$K$9:$K$761,"")</f>
        <v>0</v>
      </c>
      <c r="AF32" s="105">
        <f t="shared" si="0"/>
        <v>120</v>
      </c>
    </row>
    <row r="33" spans="2:32">
      <c r="B33" s="106" t="s">
        <v>610</v>
      </c>
      <c r="C33" s="107">
        <v>731107</v>
      </c>
      <c r="D33" s="107" t="s">
        <v>718</v>
      </c>
      <c r="E33" s="106" t="s">
        <v>717</v>
      </c>
      <c r="F33" s="103">
        <f>SUMIF('2 stopień 20_21'!G$9:G$761,"ELM.01.",'2 stopień 20_21'!I$9:I$761)</f>
        <v>0</v>
      </c>
      <c r="G33" s="104">
        <f>SUMIFS('2 stopień 20_21'!$I$9:$I$761,'2 stopień 20_21'!$G$9:$G$761,"ELM.01.",'2 stopień 20_21'!$K$9:$K$761,"CKZ Bielawa")</f>
        <v>0</v>
      </c>
      <c r="H33" s="104">
        <f>SUMIFS('2 stopień 20_21'!$I$9:$I$761,'2 stopień 20_21'!$G$9:$G$761,"ELM.01.",'2 stopień 20_21'!$K$9:$K$761,"GCKZ Głogów")</f>
        <v>0</v>
      </c>
      <c r="I33" s="104">
        <f>SUMIFS('2 stopień 20_21'!$I$9:$I$761,'2 stopień 20_21'!$G$9:$G$761,"ELM.01.",'2 stopień 20_21'!$K$9:$K$761,"CKZ Jawor")</f>
        <v>0</v>
      </c>
      <c r="J33" s="104">
        <f>SUMIFS('2 stopień 20_21'!$I$9:$I$761,'2 stopień 20_21'!$G$9:$G$761,"ELM.01.",'2 stopień 20_21'!$K$9:$K$761,"JCKZ Jelenia Góra")</f>
        <v>0</v>
      </c>
      <c r="K33" s="104">
        <f>SUMIFS('2 stopień 20_21'!$I$9:$I$761,'2 stopień 20_21'!$G$9:$G$761,"ELM.01.",'2 stopień 20_21'!$K$9:$K$761,"CKZ Kłodzko")</f>
        <v>0</v>
      </c>
      <c r="L33" s="104">
        <f>SUMIFS('2 stopień 20_21'!$I$9:$I$761,'2 stopień 20_21'!$G$9:$G$761,"ELM.01.",'2 stopień 20_21'!$K$9:$K$761,"CKZ Legnica")</f>
        <v>0</v>
      </c>
      <c r="M33" s="104">
        <f>SUMIFS('2 stopień 20_21'!$I$9:$I$761,'2 stopień 20_21'!$G$9:$G$761,"ELM.01.",'2 stopień 20_21'!$K$9:$K$761,"CKZ Oleśnica")</f>
        <v>0</v>
      </c>
      <c r="N33" s="104">
        <f>SUMIFS('2 stopień 20_21'!$I$9:$I$761,'2 stopień 20_21'!$G$9:$G$761,"ELM.01.",'2 stopień 20_21'!$K$9:$K$761,"CKZ Świdnica")</f>
        <v>0</v>
      </c>
      <c r="O33" s="104">
        <f>SUMIFS('2 stopień 20_21'!$I$9:$I$761,'2 stopień 20_21'!$G$9:$G$761,"ELM.01.",'2 stopień 20_21'!$K$9:$K$761,"CKZ Wołów")</f>
        <v>0</v>
      </c>
      <c r="P33" s="104">
        <f>SUMIFS('2 stopień 20_21'!$I$9:$I$761,'2 stopień 20_21'!$G$9:$G$761,"ELM.01.",'2 stopień 20_21'!$K$9:$K$761,"CKZ Ziębice")</f>
        <v>0</v>
      </c>
      <c r="Q33" s="104">
        <f>SUMIFS('2 stopień 20_21'!$I$9:$I$761,'2 stopień 20_21'!$G$9:$G$761,"ELM.01.",'2 stopień 20_21'!$K$9:$K$761,"CKZ Dobrodzień")</f>
        <v>0</v>
      </c>
      <c r="R33" s="104">
        <f>SUMIFS('2 stopień 20_21'!$I$9:$I$761,'2 stopień 20_21'!$G$9:$G$761,"ELM.01.",'2 stopień 20_21'!$K$9:$K$761,"CKZ Głubczyce")</f>
        <v>0</v>
      </c>
      <c r="S33" s="104">
        <f>SUMIFS('2 stopień 20_21'!$I$9:$I$761,'2 stopień 20_21'!$G$9:$G$761,"ELM.01.",'2 stopień 20_21'!$K$9:$K$761,"CKZ Kędzierzyn Koźle")</f>
        <v>0</v>
      </c>
      <c r="T33" s="104">
        <f>SUMIFS('2 stopień 20_21'!$I$9:$I$761,'2 stopień 20_21'!$G$9:$G$761,"ELM.01.",'2 stopień 20_21'!$K$9:$K$761,"CKZ Kluczbork")</f>
        <v>0</v>
      </c>
      <c r="U33" s="104">
        <f>SUMIFS('2 stopień 20_21'!$I$9:$I$761,'2 stopień 20_21'!$G$9:$G$761,"ELM.01.",'2 stopień 20_21'!$K$9:$K$761,"CKZ Krotoszyn")</f>
        <v>0</v>
      </c>
      <c r="V33" s="104">
        <f>SUMIFS('2 stopień 20_21'!$I$9:$I$761,'2 stopień 20_21'!$G$9:$G$761,"ELM.01.",'2 stopień 20_21'!$K$9:$K$761,"CKZ Olkusz")</f>
        <v>0</v>
      </c>
      <c r="W33" s="104">
        <f>SUMIFS('2 stopień 20_21'!$I$9:$I$761,'2 stopień 20_21'!$G$9:$G$761,"ELM.01.",'2 stopień 20_21'!$K$9:$K$761,"CKZ Wschowa")</f>
        <v>0</v>
      </c>
      <c r="X33" s="104">
        <f>SUMIFS('2 stopień 20_21'!$I$9:$I$761,'2 stopień 20_21'!$G$9:$G$761,"ELM.01.",'2 stopień 20_21'!$K$9:$K$761,"CKZ Zielona Góra")</f>
        <v>0</v>
      </c>
      <c r="Y33" s="104">
        <f>SUMIFS('2 stopień 20_21'!$I$9:$I$761,'2 stopień 20_21'!$G$9:$G$761,"ELM.01.",'2 stopień 20_21'!$K$9:$K$761,"Rzemieślnicza Wałbrzych")</f>
        <v>0</v>
      </c>
      <c r="Z33" s="104">
        <f>SUMIFS('2 stopień 20_21'!$I$9:$I$761,'2 stopień 20_21'!$G$9:$G$761,"ELM.01.",'2 stopień 20_21'!$K$9:$K$761,"CKZ Mosina")</f>
        <v>0</v>
      </c>
      <c r="AA33" s="104">
        <f>SUMIFS('2 stopień 20_21'!$I$9:$I$761,'2 stopień 20_21'!$G$9:$G$761,"ELM.01.",'2 stopień 20_21'!$K$9:$K$761,"CKZ Słupsk")</f>
        <v>0</v>
      </c>
      <c r="AB33" s="104">
        <f>SUMIFS('2 stopień 20_21'!$I$9:$I$761,'2 stopień 20_21'!$G$9:$G$761,"ELM.01.",'2 stopień 20_21'!$K$9:$K$761,"CKZ Opole")</f>
        <v>0</v>
      </c>
      <c r="AC33" s="104">
        <f>SUMIFS('2 stopień 20_21'!$I$9:$I$761,'2 stopień 20_21'!$G$9:$G$761,"ELM.01.",'2 stopień 20_21'!$K$9:$K$761,"CKZ Wrocław")</f>
        <v>0</v>
      </c>
      <c r="AD33" s="104">
        <f>SUMIFS('2 stopień 20_21'!$I$9:$I$761,'2 stopień 20_21'!$G$9:$G$761,"ELM.01.",'2 stopień 20_21'!$K$9:$K$761,"Brzeg Dolny")</f>
        <v>0</v>
      </c>
      <c r="AE33" s="104">
        <f>SUMIFS('2 stopień 20_21'!$I$9:$I$761,'2 stopień 20_21'!$G$9:$G$761,"ELM.01.",'2 stopień 20_21'!$K$9:$K$761,"")</f>
        <v>0</v>
      </c>
      <c r="AF33" s="105">
        <f t="shared" si="0"/>
        <v>0</v>
      </c>
    </row>
    <row r="34" spans="2:32">
      <c r="B34" s="106" t="s">
        <v>216</v>
      </c>
      <c r="C34" s="107">
        <v>742117</v>
      </c>
      <c r="D34" s="107" t="s">
        <v>720</v>
      </c>
      <c r="E34" s="106" t="s">
        <v>719</v>
      </c>
      <c r="F34" s="103">
        <f>SUMIF('2 stopień 20_21'!G$9:G$761,"ELM.02.",'2 stopień 20_21'!I$9:I$761)</f>
        <v>5</v>
      </c>
      <c r="G34" s="104">
        <f>SUMIFS('2 stopień 20_21'!$I$9:$I$761,'2 stopień 20_21'!$G$9:$G$761,"ELM.02.",'2 stopień 20_21'!$K$9:$K$761,"CKZ Bielawa")</f>
        <v>0</v>
      </c>
      <c r="H34" s="104">
        <f>SUMIFS('2 stopień 20_21'!$I$9:$I$761,'2 stopień 20_21'!$G$9:$G$761,"ELM.02.",'2 stopień 20_21'!$K$9:$K$761,"GCKZ Głogów")</f>
        <v>0</v>
      </c>
      <c r="I34" s="104">
        <f>SUMIFS('2 stopień 20_21'!$I$9:$I$761,'2 stopień 20_21'!$G$9:$G$761,"ELM.02.",'2 stopień 20_21'!$K$9:$K$761,"CKZ Jawor")</f>
        <v>0</v>
      </c>
      <c r="J34" s="104">
        <f>SUMIFS('2 stopień 20_21'!$I$9:$I$761,'2 stopień 20_21'!$G$9:$G$761,"ELM.02.",'2 stopień 20_21'!$K$9:$K$761,"JCKZ Jelenia Góra")</f>
        <v>0</v>
      </c>
      <c r="K34" s="104">
        <f>SUMIFS('2 stopień 20_21'!$I$9:$I$761,'2 stopień 20_21'!$G$9:$G$761,"ELM.02.",'2 stopień 20_21'!$K$9:$K$761,"CKZ Kłodzko")</f>
        <v>0</v>
      </c>
      <c r="L34" s="104">
        <f>SUMIFS('2 stopień 20_21'!$I$9:$I$761,'2 stopień 20_21'!$G$9:$G$761,"ELM.02.",'2 stopień 20_21'!$K$9:$K$761,"CKZ Legnica")</f>
        <v>0</v>
      </c>
      <c r="M34" s="104">
        <f>SUMIFS('2 stopień 20_21'!$I$9:$I$761,'2 stopień 20_21'!$G$9:$G$761,"ELM.02.",'2 stopień 20_21'!$K$9:$K$761,"CKZ Oleśnica")</f>
        <v>0</v>
      </c>
      <c r="N34" s="104">
        <f>SUMIFS('2 stopień 20_21'!$I$9:$I$761,'2 stopień 20_21'!$G$9:$G$761,"ELM.02.",'2 stopień 20_21'!$K$9:$K$761,"CKZ Świdnica")</f>
        <v>0</v>
      </c>
      <c r="O34" s="104">
        <f>SUMIFS('2 stopień 20_21'!$I$9:$I$761,'2 stopień 20_21'!$G$9:$G$761,"ELM.02.",'2 stopień 20_21'!$K$9:$K$761,"CKZ Wołów")</f>
        <v>0</v>
      </c>
      <c r="P34" s="104">
        <f>SUMIFS('2 stopień 20_21'!$I$9:$I$761,'2 stopień 20_21'!$G$9:$G$761,"ELM.02.",'2 stopień 20_21'!$K$9:$K$761,"CKZ Ziębice")</f>
        <v>0</v>
      </c>
      <c r="Q34" s="104">
        <f>SUMIFS('2 stopień 20_21'!$I$9:$I$761,'2 stopień 20_21'!$G$9:$G$761,"ELM.02.",'2 stopień 20_21'!$K$9:$K$761,"CKZ Dobrodzień")</f>
        <v>0</v>
      </c>
      <c r="R34" s="104">
        <f>SUMIFS('2 stopień 20_21'!$I$9:$I$761,'2 stopień 20_21'!$G$9:$G$761,"ELM.02.",'2 stopień 20_21'!$K$9:$K$761,"CKZ Głubczyce")</f>
        <v>0</v>
      </c>
      <c r="S34" s="104">
        <f>SUMIFS('2 stopień 20_21'!$I$9:$I$761,'2 stopień 20_21'!$G$9:$G$761,"ELM.02.",'2 stopień 20_21'!$K$9:$K$761,"CKZ Kędzierzyn Koźle")</f>
        <v>0</v>
      </c>
      <c r="T34" s="104">
        <f>SUMIFS('2 stopień 20_21'!$I$9:$I$761,'2 stopień 20_21'!$G$9:$G$761,"ELM.02.",'2 stopień 20_21'!$K$9:$K$761,"CKZ Kluczbork")</f>
        <v>0</v>
      </c>
      <c r="U34" s="104">
        <f>SUMIFS('2 stopień 20_21'!$I$9:$I$761,'2 stopień 20_21'!$G$9:$G$761,"ELM.02.",'2 stopień 20_21'!$K$9:$K$761,"CKZ Krotoszyn")</f>
        <v>1</v>
      </c>
      <c r="V34" s="104">
        <f>SUMIFS('2 stopień 20_21'!$I$9:$I$761,'2 stopień 20_21'!$G$9:$G$761,"ELM.02.",'2 stopień 20_21'!$K$9:$K$761,"CKZ Olkusz")</f>
        <v>0</v>
      </c>
      <c r="W34" s="104">
        <f>SUMIFS('2 stopień 20_21'!$I$9:$I$761,'2 stopień 20_21'!$G$9:$G$761,"ELM.02.",'2 stopień 20_21'!$K$9:$K$761,"CKZ Wschowa")</f>
        <v>3</v>
      </c>
      <c r="X34" s="104">
        <f>SUMIFS('2 stopień 20_21'!$I$9:$I$761,'2 stopień 20_21'!$G$9:$G$761,"ELM.02.",'2 stopień 20_21'!$K$9:$K$761,"CKZ Zielona Góra")</f>
        <v>1</v>
      </c>
      <c r="Y34" s="104">
        <f>SUMIFS('2 stopień 20_21'!$I$9:$I$761,'2 stopień 20_21'!$G$9:$G$761,"ELM.02.",'2 stopień 20_21'!$K$9:$K$761,"Rzemieślnicza Wałbrzych")</f>
        <v>0</v>
      </c>
      <c r="Z34" s="104">
        <f>SUMIFS('2 stopień 20_21'!$I$9:$I$761,'2 stopień 20_21'!$G$9:$G$761,"ELM.02.",'2 stopień 20_21'!$K$9:$K$761,"CKZ Mosina")</f>
        <v>0</v>
      </c>
      <c r="AA34" s="104">
        <f>SUMIFS('2 stopień 20_21'!$I$9:$I$761,'2 stopień 20_21'!$G$9:$G$761,"ELM.02.",'2 stopień 20_21'!$K$9:$K$761,"CKZ Słupsk")</f>
        <v>0</v>
      </c>
      <c r="AB34" s="104">
        <f>SUMIFS('2 stopień 20_21'!$I$9:$I$761,'2 stopień 20_21'!$G$9:$G$761,"ELM.02.",'2 stopień 20_21'!$K$9:$K$761,"CKZ Opole")</f>
        <v>0</v>
      </c>
      <c r="AC34" s="104">
        <f>SUMIFS('2 stopień 20_21'!$I$9:$I$761,'2 stopień 20_21'!$G$9:$G$761,"ELM.02.",'2 stopień 20_21'!$K$9:$K$761,"CKZ Wrocław")</f>
        <v>0</v>
      </c>
      <c r="AD34" s="104">
        <f>SUMIFS('2 stopień 20_21'!$I$9:$I$761,'2 stopień 20_21'!$G$9:$G$761,"ELM.02.",'2 stopień 20_21'!$K$9:$K$761,"Brzeg Dolny")</f>
        <v>0</v>
      </c>
      <c r="AE34" s="104">
        <f>SUMIFS('2 stopień 20_21'!$I$9:$I$761,'2 stopień 20_21'!$G$9:$G$761,"ELM.02.",'2 stopień 20_21'!$K$9:$K$761,"")</f>
        <v>0</v>
      </c>
      <c r="AF34" s="105">
        <f t="shared" si="0"/>
        <v>5</v>
      </c>
    </row>
    <row r="35" spans="2:32">
      <c r="B35" s="106" t="s">
        <v>611</v>
      </c>
      <c r="C35" s="107">
        <v>742118</v>
      </c>
      <c r="D35" s="107" t="s">
        <v>722</v>
      </c>
      <c r="E35" s="106" t="s">
        <v>721</v>
      </c>
      <c r="F35" s="103">
        <f>SUMIF('2 stopień 20_21'!G$9:G$761,"ELM.03.",'2 stopień 20_21'!I$9:I$761)</f>
        <v>1</v>
      </c>
      <c r="G35" s="104">
        <f>SUMIFS('2 stopień 20_21'!$I$9:$I$761,'2 stopień 20_21'!$G$9:$G$761,"ELM.03.",'2 stopień 20_21'!$K$9:$K$761,"CKZ Bielawa")</f>
        <v>0</v>
      </c>
      <c r="H35" s="104">
        <f>SUMIFS('2 stopień 20_21'!$I$9:$I$761,'2 stopień 20_21'!$G$9:$G$761,"ELM.03.",'2 stopień 20_21'!$K$9:$K$761,"GCKZ Głogów")</f>
        <v>0</v>
      </c>
      <c r="I35" s="104">
        <f>SUMIFS('2 stopień 20_21'!$I$9:$I$761,'2 stopień 20_21'!$G$9:$G$761,"ELM.03.",'2 stopień 20_21'!$K$9:$K$761,"CKZ Jawor")</f>
        <v>0</v>
      </c>
      <c r="J35" s="104">
        <f>SUMIFS('2 stopień 20_21'!$I$9:$I$761,'2 stopień 20_21'!$G$9:$G$761,"ELM.03.",'2 stopień 20_21'!$K$9:$K$761,"JCKZ Jelenia Góra")</f>
        <v>0</v>
      </c>
      <c r="K35" s="104">
        <f>SUMIFS('2 stopień 20_21'!$I$9:$I$761,'2 stopień 20_21'!$G$9:$G$761,"ELM.03.",'2 stopień 20_21'!$K$9:$K$761,"CKZ Kłodzko")</f>
        <v>0</v>
      </c>
      <c r="L35" s="104">
        <f>SUMIFS('2 stopień 20_21'!$I$9:$I$761,'2 stopień 20_21'!$G$9:$G$761,"ELM.03.",'2 stopień 20_21'!$K$9:$K$761,"CKZ Legnica")</f>
        <v>0</v>
      </c>
      <c r="M35" s="104">
        <f>SUMIFS('2 stopień 20_21'!$I$9:$I$761,'2 stopień 20_21'!$G$9:$G$761,"ELM.03.",'2 stopień 20_21'!$K$9:$K$761,"CKZ Oleśnica")</f>
        <v>0</v>
      </c>
      <c r="N35" s="104">
        <f>SUMIFS('2 stopień 20_21'!$I$9:$I$761,'2 stopień 20_21'!$G$9:$G$761,"ELM.03.",'2 stopień 20_21'!$K$9:$K$761,"CKZ Świdnica")</f>
        <v>0</v>
      </c>
      <c r="O35" s="104">
        <f>SUMIFS('2 stopień 20_21'!$I$9:$I$761,'2 stopień 20_21'!$G$9:$G$761,"ELM.03.",'2 stopień 20_21'!$K$9:$K$761,"CKZ Wołów")</f>
        <v>0</v>
      </c>
      <c r="P35" s="104">
        <f>SUMIFS('2 stopień 20_21'!$I$9:$I$761,'2 stopień 20_21'!$G$9:$G$761,"ELM.03.",'2 stopień 20_21'!$K$9:$K$761,"CKZ Ziębice")</f>
        <v>0</v>
      </c>
      <c r="Q35" s="104">
        <f>SUMIFS('2 stopień 20_21'!$I$9:$I$761,'2 stopień 20_21'!$G$9:$G$761,"ELM.03.",'2 stopień 20_21'!$K$9:$K$761,"CKZ Dobrodzień")</f>
        <v>0</v>
      </c>
      <c r="R35" s="104">
        <f>SUMIFS('2 stopień 20_21'!$I$9:$I$761,'2 stopień 20_21'!$G$9:$G$761,"ELM.03.",'2 stopień 20_21'!$K$9:$K$761,"CKZ Głubczyce")</f>
        <v>0</v>
      </c>
      <c r="S35" s="104">
        <f>SUMIFS('2 stopień 20_21'!$I$9:$I$761,'2 stopień 20_21'!$G$9:$G$761,"ELM.03.",'2 stopień 20_21'!$K$9:$K$761,"CKZ Kędzierzyn Koźle")</f>
        <v>0</v>
      </c>
      <c r="T35" s="104">
        <f>SUMIFS('2 stopień 20_21'!$I$9:$I$761,'2 stopień 20_21'!$G$9:$G$761,"ELM.03.",'2 stopień 20_21'!$K$9:$K$761,"CKZ Kluczbork")</f>
        <v>0</v>
      </c>
      <c r="U35" s="104">
        <f>SUMIFS('2 stopień 20_21'!$I$9:$I$761,'2 stopień 20_21'!$G$9:$G$761,"ELM.03.",'2 stopień 20_21'!$K$9:$K$761,"CKZ Krotoszyn")</f>
        <v>0</v>
      </c>
      <c r="V35" s="104">
        <f>SUMIFS('2 stopień 20_21'!$I$9:$I$761,'2 stopień 20_21'!$G$9:$G$761,"ELM.03.",'2 stopień 20_21'!$K$9:$K$761,"CKZ Olkusz")</f>
        <v>0</v>
      </c>
      <c r="W35" s="104">
        <f>SUMIFS('2 stopień 20_21'!$I$9:$I$761,'2 stopień 20_21'!$G$9:$G$761,"ELM.03.",'2 stopień 20_21'!$K$9:$K$761,"CKZ Wschowa")</f>
        <v>0</v>
      </c>
      <c r="X35" s="104">
        <f>SUMIFS('2 stopień 20_21'!$I$9:$I$761,'2 stopień 20_21'!$G$9:$G$761,"ELM.03.",'2 stopień 20_21'!$K$9:$K$761,"CKZ Zielona Góra")</f>
        <v>1</v>
      </c>
      <c r="Y35" s="104">
        <f>SUMIFS('2 stopień 20_21'!$I$9:$I$761,'2 stopień 20_21'!$G$9:$G$761,"ELM.03.",'2 stopień 20_21'!$K$9:$K$761,"Rzemieślnicza Wałbrzych")</f>
        <v>0</v>
      </c>
      <c r="Z35" s="104">
        <f>SUMIFS('2 stopień 20_21'!$I$9:$I$761,'2 stopień 20_21'!$G$9:$G$761,"ELM.03.",'2 stopień 20_21'!$K$9:$K$761,"CKZ Mosina")</f>
        <v>0</v>
      </c>
      <c r="AA35" s="104">
        <f>SUMIFS('2 stopień 20_21'!$I$9:$I$761,'2 stopień 20_21'!$G$9:$G$761,"ELM.03.",'2 stopień 20_21'!$K$9:$K$761,"CKZ Słupsk")</f>
        <v>0</v>
      </c>
      <c r="AB35" s="104">
        <f>SUMIFS('2 stopień 20_21'!$I$9:$I$761,'2 stopień 20_21'!$G$9:$G$761,"ELM.03.",'2 stopień 20_21'!$K$9:$K$761,"CKZ Opole")</f>
        <v>0</v>
      </c>
      <c r="AC35" s="104">
        <f>SUMIFS('2 stopień 20_21'!$I$9:$I$761,'2 stopień 20_21'!$G$9:$G$761,"ELM.03.",'2 stopień 20_21'!$K$9:$K$761,"CKZ Wrocław")</f>
        <v>0</v>
      </c>
      <c r="AD35" s="104">
        <f>SUMIFS('2 stopień 20_21'!$I$9:$I$761,'2 stopień 20_21'!$G$9:$G$761,"ELM.03.",'2 stopień 20_21'!$K$9:$K$761,"Brzeg Dolny")</f>
        <v>0</v>
      </c>
      <c r="AE35" s="104">
        <f>SUMIFS('2 stopień 20_21'!$I$9:$I$761,'2 stopień 20_21'!$G$9:$G$761,"ELM.03.",'2 stopień 20_21'!$K$9:$K$761,"")</f>
        <v>0</v>
      </c>
      <c r="AF35" s="105">
        <f t="shared" si="0"/>
        <v>1</v>
      </c>
    </row>
    <row r="36" spans="2:32">
      <c r="B36" s="106" t="s">
        <v>114</v>
      </c>
      <c r="C36" s="107">
        <v>514101</v>
      </c>
      <c r="D36" s="107" t="s">
        <v>724</v>
      </c>
      <c r="E36" s="106" t="s">
        <v>723</v>
      </c>
      <c r="F36" s="103">
        <f>SUMIF('2 stopień 20_21'!G$9:G$761,"FRK.01.",'2 stopień 20_21'!I$9:I$761)</f>
        <v>540</v>
      </c>
      <c r="G36" s="104">
        <f>SUMIFS('2 stopień 20_21'!$I$9:$I$761,'2 stopień 20_21'!$G$9:$G$761,"FRK.01.",'2 stopień 20_21'!$K$9:$K$761,"CKZ Bielawa")</f>
        <v>51</v>
      </c>
      <c r="H36" s="104">
        <f>SUMIFS('2 stopień 20_21'!$I$9:$I$761,'2 stopień 20_21'!$G$9:$G$761,"FRK.01.",'2 stopień 20_21'!$K$9:$K$761,"GCKZ Głogów")</f>
        <v>0</v>
      </c>
      <c r="I36" s="104">
        <f>SUMIFS('2 stopień 20_21'!$I$9:$I$761,'2 stopień 20_21'!$G$9:$G$761,"FRK.01.",'2 stopień 20_21'!$K$9:$K$761,"CKZ Jawor")</f>
        <v>0</v>
      </c>
      <c r="J36" s="104">
        <f>SUMIFS('2 stopień 20_21'!$I$9:$I$761,'2 stopień 20_21'!$G$9:$G$761,"FRK.01.",'2 stopień 20_21'!$K$9:$K$761,"JCKZ Jelenia Góra")</f>
        <v>34</v>
      </c>
      <c r="K36" s="104">
        <f>SUMIFS('2 stopień 20_21'!$I$9:$I$761,'2 stopień 20_21'!$G$9:$G$761,"FRK.01.",'2 stopień 20_21'!$K$9:$K$761,"CKZ Kłodzko")</f>
        <v>37</v>
      </c>
      <c r="L36" s="104">
        <f>SUMIFS('2 stopień 20_21'!$I$9:$I$761,'2 stopień 20_21'!$G$9:$G$761,"FRK.01.",'2 stopień 20_21'!$K$9:$K$761,"CKZ Legnica")</f>
        <v>192</v>
      </c>
      <c r="M36" s="104">
        <f>SUMIFS('2 stopień 20_21'!$I$9:$I$761,'2 stopień 20_21'!$G$9:$G$761,"FRK.01.",'2 stopień 20_21'!$K$9:$K$761,"CKZ Oleśnica")</f>
        <v>98</v>
      </c>
      <c r="N36" s="104">
        <f>SUMIFS('2 stopień 20_21'!$I$9:$I$761,'2 stopień 20_21'!$G$9:$G$761,"FRK.01.",'2 stopień 20_21'!$K$9:$K$761,"CKZ Świdnica")</f>
        <v>87</v>
      </c>
      <c r="O36" s="104">
        <f>SUMIFS('2 stopień 20_21'!$I$9:$I$761,'2 stopień 20_21'!$G$9:$G$761,"FRK.01.",'2 stopień 20_21'!$K$9:$K$761,"CKZ Wołów")</f>
        <v>0</v>
      </c>
      <c r="P36" s="104">
        <f>SUMIFS('2 stopień 20_21'!$I$9:$I$761,'2 stopień 20_21'!$G$9:$G$761,"FRK.01.",'2 stopień 20_21'!$K$9:$K$761,"CKZ Ziębice")</f>
        <v>25</v>
      </c>
      <c r="Q36" s="104">
        <f>SUMIFS('2 stopień 20_21'!$I$9:$I$761,'2 stopień 20_21'!$G$9:$G$761,"FRK.01.",'2 stopień 20_21'!$K$9:$K$761,"CKZ Dobrodzień")</f>
        <v>0</v>
      </c>
      <c r="R36" s="104">
        <f>SUMIFS('2 stopień 20_21'!$I$9:$I$761,'2 stopień 20_21'!$G$9:$G$761,"FRK.01.",'2 stopień 20_21'!$K$9:$K$761,"CKZ Głubczyce")</f>
        <v>0</v>
      </c>
      <c r="S36" s="104">
        <f>SUMIFS('2 stopień 20_21'!$I$9:$I$761,'2 stopień 20_21'!$G$9:$G$761,"FRK.01.",'2 stopień 20_21'!$K$9:$K$761,"CKZ Kędzierzyn Koźle")</f>
        <v>0</v>
      </c>
      <c r="T36" s="104">
        <f>SUMIFS('2 stopień 20_21'!$I$9:$I$761,'2 stopień 20_21'!$G$9:$G$761,"FRK.01.",'2 stopień 20_21'!$K$9:$K$761,"CKZ Kluczbork")</f>
        <v>0</v>
      </c>
      <c r="U36" s="104">
        <f>SUMIFS('2 stopień 20_21'!$I$9:$I$761,'2 stopień 20_21'!$G$9:$G$761,"FRK.01.",'2 stopień 20_21'!$K$9:$K$761,"CKZ Krotoszyn")</f>
        <v>0</v>
      </c>
      <c r="V36" s="104">
        <f>SUMIFS('2 stopień 20_21'!$I$9:$I$761,'2 stopień 20_21'!$G$9:$G$761,"FRK.01.",'2 stopień 20_21'!$K$9:$K$761,"CKZ Olkusz")</f>
        <v>0</v>
      </c>
      <c r="W36" s="104">
        <f>SUMIFS('2 stopień 20_21'!$I$9:$I$761,'2 stopień 20_21'!$G$9:$G$761,"FRK.01.",'2 stopień 20_21'!$K$9:$K$761,"CKZ Wschowa")</f>
        <v>16</v>
      </c>
      <c r="X36" s="104">
        <f>SUMIFS('2 stopień 20_21'!$I$9:$I$761,'2 stopień 20_21'!$G$9:$G$761,"FRK.01.",'2 stopień 20_21'!$K$9:$K$761,"CKZ Zielona Góra")</f>
        <v>0</v>
      </c>
      <c r="Y36" s="104">
        <f>SUMIFS('2 stopień 20_21'!$I$9:$I$761,'2 stopień 20_21'!$G$9:$G$761,"FRK.01.",'2 stopień 20_21'!$K$9:$K$761,"Rzemieślnicza Wałbrzych")</f>
        <v>0</v>
      </c>
      <c r="Z36" s="104">
        <f>SUMIFS('2 stopień 20_21'!$I$9:$I$761,'2 stopień 20_21'!$G$9:$G$761,"FRK.01.",'2 stopień 20_21'!$K$9:$K$761,"CKZ Mosina")</f>
        <v>0</v>
      </c>
      <c r="AA36" s="104">
        <f>SUMIFS('2 stopień 20_21'!$I$9:$I$761,'2 stopień 20_21'!$G$9:$G$761,"FRK.01.",'2 stopień 20_21'!$K$9:$K$761,"CKZ Słupsk")</f>
        <v>0</v>
      </c>
      <c r="AB36" s="104">
        <f>SUMIFS('2 stopień 20_21'!$I$9:$I$761,'2 stopień 20_21'!$G$9:$G$761,"FRK.01.",'2 stopień 20_21'!$K$9:$K$761,"CKZ Opole")</f>
        <v>0</v>
      </c>
      <c r="AC36" s="104">
        <f>SUMIFS('2 stopień 20_21'!$I$9:$I$761,'2 stopień 20_21'!$G$9:$G$761,"FRK.01.",'2 stopień 20_21'!$K$9:$K$761,"CKZ Wrocław")</f>
        <v>0</v>
      </c>
      <c r="AD36" s="104">
        <f>SUMIFS('2 stopień 20_21'!$I$9:$I$761,'2 stopień 20_21'!$G$9:$G$761,"FRK.01.",'2 stopień 20_21'!$K$9:$K$761,"Brzeg Dolny")</f>
        <v>0</v>
      </c>
      <c r="AE36" s="104">
        <f>SUMIFS('2 stopień 20_21'!$I$9:$I$761,'2 stopień 20_21'!$G$9:$G$761,"FRK.01.",'2 stopień 20_21'!$K$9:$K$761,"")</f>
        <v>0</v>
      </c>
      <c r="AF36" s="105">
        <f t="shared" si="0"/>
        <v>540</v>
      </c>
    </row>
    <row r="37" spans="2:32">
      <c r="B37" s="106" t="s">
        <v>612</v>
      </c>
      <c r="C37" s="107">
        <v>932920</v>
      </c>
      <c r="D37" s="107" t="s">
        <v>726</v>
      </c>
      <c r="E37" s="106" t="s">
        <v>725</v>
      </c>
      <c r="F37" s="103">
        <f>SUMIF('2 stopień 20_21'!G$9:G$761,"FRK.02.",'2 stopień 20_21'!I$9:I$761)</f>
        <v>0</v>
      </c>
      <c r="G37" s="104">
        <f>SUMIFS('2 stopień 20_21'!$I$9:$I$761,'2 stopień 20_21'!$G$9:$G$761,"FRK.02.",'2 stopień 20_21'!$K$9:$K$761,"CKZ Bielawa")</f>
        <v>0</v>
      </c>
      <c r="H37" s="104">
        <f>SUMIFS('2 stopień 20_21'!$I$9:$I$761,'2 stopień 20_21'!$G$9:$G$761,"FRK.02.",'2 stopień 20_21'!$K$9:$K$761,"GCKZ Głogów")</f>
        <v>0</v>
      </c>
      <c r="I37" s="104">
        <f>SUMIFS('2 stopień 20_21'!$I$9:$I$761,'2 stopień 20_21'!$G$9:$G$761,"FRK.02.",'2 stopień 20_21'!$K$9:$K$761,"CKZ Jawor")</f>
        <v>0</v>
      </c>
      <c r="J37" s="104">
        <f>SUMIFS('2 stopień 20_21'!$I$9:$I$761,'2 stopień 20_21'!$G$9:$G$761,"FRK.02.",'2 stopień 20_21'!$K$9:$K$761,"JCKZ Jelenia Góra")</f>
        <v>0</v>
      </c>
      <c r="K37" s="104">
        <f>SUMIFS('2 stopień 20_21'!$I$9:$I$761,'2 stopień 20_21'!$G$9:$G$761,"FRK.02.",'2 stopień 20_21'!$K$9:$K$761,"CKZ Kłodzko")</f>
        <v>0</v>
      </c>
      <c r="L37" s="104">
        <f>SUMIFS('2 stopień 20_21'!$I$9:$I$761,'2 stopień 20_21'!$G$9:$G$761,"FRK.02.",'2 stopień 20_21'!$K$9:$K$761,"CKZ Legnica")</f>
        <v>0</v>
      </c>
      <c r="M37" s="104">
        <f>SUMIFS('2 stopień 20_21'!$I$9:$I$761,'2 stopień 20_21'!$G$9:$G$761,"FRK.02.",'2 stopień 20_21'!$K$9:$K$761,"CKZ Oleśnica")</f>
        <v>0</v>
      </c>
      <c r="N37" s="104">
        <f>SUMIFS('2 stopień 20_21'!$I$9:$I$761,'2 stopień 20_21'!$G$9:$G$761,"FRK.02.",'2 stopień 20_21'!$K$9:$K$761,"CKZ Świdnica")</f>
        <v>0</v>
      </c>
      <c r="O37" s="104">
        <f>SUMIFS('2 stopień 20_21'!$I$9:$I$761,'2 stopień 20_21'!$G$9:$G$761,"FRK.02.",'2 stopień 20_21'!$K$9:$K$761,"CKZ Wołów")</f>
        <v>0</v>
      </c>
      <c r="P37" s="104">
        <f>SUMIFS('2 stopień 20_21'!$I$9:$I$761,'2 stopień 20_21'!$G$9:$G$761,"FRK.02.",'2 stopień 20_21'!$K$9:$K$761,"CKZ Ziębice")</f>
        <v>0</v>
      </c>
      <c r="Q37" s="104">
        <f>SUMIFS('2 stopień 20_21'!$I$9:$I$761,'2 stopień 20_21'!$G$9:$G$761,"FRK.02.",'2 stopień 20_21'!$K$9:$K$761,"CKZ Dobrodzień")</f>
        <v>0</v>
      </c>
      <c r="R37" s="104">
        <f>SUMIFS('2 stopień 20_21'!$I$9:$I$761,'2 stopień 20_21'!$G$9:$G$761,"FRK.02.",'2 stopień 20_21'!$K$9:$K$761,"CKZ Głubczyce")</f>
        <v>0</v>
      </c>
      <c r="S37" s="104">
        <f>SUMIFS('2 stopień 20_21'!$I$9:$I$761,'2 stopień 20_21'!$G$9:$G$761,"FRK.02.",'2 stopień 20_21'!$K$9:$K$761,"CKZ Kędzierzyn Koźle")</f>
        <v>0</v>
      </c>
      <c r="T37" s="104">
        <f>SUMIFS('2 stopień 20_21'!$I$9:$I$761,'2 stopień 20_21'!$G$9:$G$761,"FRK.02.",'2 stopień 20_21'!$K$9:$K$761,"CKZ Kluczbork")</f>
        <v>0</v>
      </c>
      <c r="U37" s="104">
        <f>SUMIFS('2 stopień 20_21'!$I$9:$I$761,'2 stopień 20_21'!$G$9:$G$761,"FRK.02.",'2 stopień 20_21'!$K$9:$K$761,"CKZ Krotoszyn")</f>
        <v>0</v>
      </c>
      <c r="V37" s="104">
        <f>SUMIFS('2 stopień 20_21'!$I$9:$I$761,'2 stopień 20_21'!$G$9:$G$761,"FRK.02.",'2 stopień 20_21'!$K$9:$K$761,"CKZ Olkusz")</f>
        <v>0</v>
      </c>
      <c r="W37" s="104">
        <f>SUMIFS('2 stopień 20_21'!$I$9:$I$761,'2 stopień 20_21'!$G$9:$G$761,"FRK.02.",'2 stopień 20_21'!$K$9:$K$761,"CKZ Wschowa")</f>
        <v>0</v>
      </c>
      <c r="X37" s="104">
        <f>SUMIFS('2 stopień 20_21'!$I$9:$I$761,'2 stopień 20_21'!$G$9:$G$761,"FRK.02.",'2 stopień 20_21'!$K$9:$K$761,"CKZ Zielona Góra")</f>
        <v>0</v>
      </c>
      <c r="Y37" s="104">
        <f>SUMIFS('2 stopień 20_21'!$I$9:$I$761,'2 stopień 20_21'!$G$9:$G$761,"FRK.02.",'2 stopień 20_21'!$K$9:$K$761,"Rzemieślnicza Wałbrzych")</f>
        <v>0</v>
      </c>
      <c r="Z37" s="104">
        <f>SUMIFS('2 stopień 20_21'!$I$9:$I$761,'2 stopień 20_21'!$G$9:$G$761,"FRK.02.",'2 stopień 20_21'!$K$9:$K$761,"CKZ Mosina")</f>
        <v>0</v>
      </c>
      <c r="AA37" s="104">
        <f>SUMIFS('2 stopień 20_21'!$I$9:$I$761,'2 stopień 20_21'!$G$9:$G$761,"FRK.02.",'2 stopień 20_21'!$K$9:$K$761,"CKZ Słupsk")</f>
        <v>0</v>
      </c>
      <c r="AB37" s="104">
        <f>SUMIFS('2 stopień 20_21'!$I$9:$I$761,'2 stopień 20_21'!$G$9:$G$761,"FRK.02.",'2 stopień 20_21'!$K$9:$K$761,"CKZ Opole")</f>
        <v>0</v>
      </c>
      <c r="AC37" s="104">
        <f>SUMIFS('2 stopień 20_21'!$I$9:$I$761,'2 stopień 20_21'!$G$9:$G$761,"FRK.02.",'2 stopień 20_21'!$K$9:$K$761,"CKZ Wrocław")</f>
        <v>0</v>
      </c>
      <c r="AD37" s="104">
        <f>SUMIFS('2 stopień 20_21'!$I$9:$I$761,'2 stopień 20_21'!$G$9:$G$761,"FRK.02.",'2 stopień 20_21'!$K$9:$K$761,"Brzeg Dolny")</f>
        <v>0</v>
      </c>
      <c r="AE37" s="104">
        <f>SUMIFS('2 stopień 20_21'!$I$9:$I$761,'2 stopień 20_21'!$G$9:$G$761,"FRK.02.",'2 stopień 20_21'!$K$9:$K$761,"")</f>
        <v>0</v>
      </c>
      <c r="AF37" s="105">
        <f t="shared" si="0"/>
        <v>0</v>
      </c>
    </row>
    <row r="38" spans="2:32">
      <c r="B38" s="106" t="s">
        <v>613</v>
      </c>
      <c r="C38" s="107">
        <v>811301</v>
      </c>
      <c r="D38" s="107" t="s">
        <v>728</v>
      </c>
      <c r="E38" s="106" t="s">
        <v>727</v>
      </c>
      <c r="F38" s="103">
        <f>SUMIF('2 stopień 20_21'!G$9:G$761,"GIW.01.",'2 stopień 20_21'!I$9:I$761)</f>
        <v>0</v>
      </c>
      <c r="G38" s="104">
        <f>SUMIFS('2 stopień 20_21'!$I$9:$I$761,'2 stopień 20_21'!$G$9:$G$761,"GIW.01.",'2 stopień 20_21'!$K$9:$K$761,"CKZ Bielawa")</f>
        <v>0</v>
      </c>
      <c r="H38" s="104">
        <f>SUMIFS('2 stopień 20_21'!$I$9:$I$761,'2 stopień 20_21'!$G$9:$G$761,"GIW.01.",'2 stopień 20_21'!$K$9:$K$761,"GCKZ Głogów")</f>
        <v>0</v>
      </c>
      <c r="I38" s="104">
        <f>SUMIFS('2 stopień 20_21'!$I$9:$I$761,'2 stopień 20_21'!$G$9:$G$761,"GIW.01.",'2 stopień 20_21'!$K$9:$K$761,"CKZ Jawor")</f>
        <v>0</v>
      </c>
      <c r="J38" s="104">
        <f>SUMIFS('2 stopień 20_21'!$I$9:$I$761,'2 stopień 20_21'!$G$9:$G$761,"GIW.01.",'2 stopień 20_21'!$K$9:$K$761,"JCKZ Jelenia Góra")</f>
        <v>0</v>
      </c>
      <c r="K38" s="104">
        <f>SUMIFS('2 stopień 20_21'!$I$9:$I$761,'2 stopień 20_21'!$G$9:$G$761,"GIW.01.",'2 stopień 20_21'!$K$9:$K$761,"CKZ Kłodzko")</f>
        <v>0</v>
      </c>
      <c r="L38" s="104">
        <f>SUMIFS('2 stopień 20_21'!$I$9:$I$761,'2 stopień 20_21'!$G$9:$G$761,"GIW.01.",'2 stopień 20_21'!$K$9:$K$761,"CKZ Legnica")</f>
        <v>0</v>
      </c>
      <c r="M38" s="104">
        <f>SUMIFS('2 stopień 20_21'!$I$9:$I$761,'2 stopień 20_21'!$G$9:$G$761,"GIW.01.",'2 stopień 20_21'!$K$9:$K$761,"CKZ Oleśnica")</f>
        <v>0</v>
      </c>
      <c r="N38" s="104">
        <f>SUMIFS('2 stopień 20_21'!$I$9:$I$761,'2 stopień 20_21'!$G$9:$G$761,"GIW.01.",'2 stopień 20_21'!$K$9:$K$761,"CKZ Świdnica")</f>
        <v>0</v>
      </c>
      <c r="O38" s="104">
        <f>SUMIFS('2 stopień 20_21'!$I$9:$I$761,'2 stopień 20_21'!$G$9:$G$761,"GIW.01.",'2 stopień 20_21'!$K$9:$K$761,"CKZ Wołów")</f>
        <v>0</v>
      </c>
      <c r="P38" s="104">
        <f>SUMIFS('2 stopień 20_21'!$I$9:$I$761,'2 stopień 20_21'!$G$9:$G$761,"GIW.01.",'2 stopień 20_21'!$K$9:$K$761,"CKZ Ziębice")</f>
        <v>0</v>
      </c>
      <c r="Q38" s="104">
        <f>SUMIFS('2 stopień 20_21'!$I$9:$I$761,'2 stopień 20_21'!$G$9:$G$761,"GIW.01.",'2 stopień 20_21'!$K$9:$K$761,"CKZ Dobrodzień")</f>
        <v>0</v>
      </c>
      <c r="R38" s="104">
        <f>SUMIFS('2 stopień 20_21'!$I$9:$I$761,'2 stopień 20_21'!$G$9:$G$761,"GIW.01.",'2 stopień 20_21'!$K$9:$K$761,"CKZ Głubczyce")</f>
        <v>0</v>
      </c>
      <c r="S38" s="104">
        <f>SUMIFS('2 stopień 20_21'!$I$9:$I$761,'2 stopień 20_21'!$G$9:$G$761,"GIW.01.",'2 stopień 20_21'!$K$9:$K$761,"CKZ Kędzierzyn Koźle")</f>
        <v>0</v>
      </c>
      <c r="T38" s="104">
        <f>SUMIFS('2 stopień 20_21'!$I$9:$I$761,'2 stopień 20_21'!$G$9:$G$761,"GIW.01.",'2 stopień 20_21'!$K$9:$K$761,"CKZ Kluczbork")</f>
        <v>0</v>
      </c>
      <c r="U38" s="104">
        <f>SUMIFS('2 stopień 20_21'!$I$9:$I$761,'2 stopień 20_21'!$G$9:$G$761,"GIW.01.",'2 stopień 20_21'!$K$9:$K$761,"CKZ Krotoszyn")</f>
        <v>0</v>
      </c>
      <c r="V38" s="104">
        <f>SUMIFS('2 stopień 20_21'!$I$9:$I$761,'2 stopień 20_21'!$G$9:$G$761,"GIW.01.",'2 stopień 20_21'!$K$9:$K$761,"CKZ Olkusz")</f>
        <v>0</v>
      </c>
      <c r="W38" s="104">
        <f>SUMIFS('2 stopień 20_21'!$I$9:$I$761,'2 stopień 20_21'!$G$9:$G$761,"GIW.01.",'2 stopień 20_21'!$K$9:$K$761,"CKZ Wschowa")</f>
        <v>0</v>
      </c>
      <c r="X38" s="104">
        <f>SUMIFS('2 stopień 20_21'!$I$9:$I$761,'2 stopień 20_21'!$G$9:$G$761,"GIW.01.",'2 stopień 20_21'!$K$9:$K$761,"CKZ Zielona Góra")</f>
        <v>0</v>
      </c>
      <c r="Y38" s="104">
        <f>SUMIFS('2 stopień 20_21'!$I$9:$I$761,'2 stopień 20_21'!$G$9:$G$761,"GIW.01.",'2 stopień 20_21'!$K$9:$K$761,"Rzemieślnicza Wałbrzych")</f>
        <v>0</v>
      </c>
      <c r="Z38" s="104">
        <f>SUMIFS('2 stopień 20_21'!$I$9:$I$761,'2 stopień 20_21'!$G$9:$G$761,"GIW.01.",'2 stopień 20_21'!$K$9:$K$761,"CKZ Mosina")</f>
        <v>0</v>
      </c>
      <c r="AA38" s="104">
        <f>SUMIFS('2 stopień 20_21'!$I$9:$I$761,'2 stopień 20_21'!$G$9:$G$761,"GIW.01.",'2 stopień 20_21'!$K$9:$K$761,"CKZ Słupsk")</f>
        <v>0</v>
      </c>
      <c r="AB38" s="104">
        <f>SUMIFS('2 stopień 20_21'!$I$9:$I$761,'2 stopień 20_21'!$G$9:$G$761,"GIW.01.",'2 stopień 20_21'!$K$9:$K$761,"CKZ Opole")</f>
        <v>0</v>
      </c>
      <c r="AC38" s="104">
        <f>SUMIFS('2 stopień 20_21'!$I$9:$I$761,'2 stopień 20_21'!$G$9:$G$761,"GIW.01.",'2 stopień 20_21'!$K$9:$K$761,"CKZ Wrocław")</f>
        <v>0</v>
      </c>
      <c r="AD38" s="104">
        <f>SUMIFS('2 stopień 20_21'!$I$9:$I$761,'2 stopień 20_21'!$G$9:$G$761,"GIW.01.",'2 stopień 20_21'!$K$9:$K$761,"Brzeg Dolny")</f>
        <v>0</v>
      </c>
      <c r="AE38" s="104">
        <f>SUMIFS('2 stopień 20_21'!$I$9:$I$761,'2 stopień 20_21'!$G$9:$G$761,"GIW.01.",'2 stopień 20_21'!$K$9:$K$761,"")</f>
        <v>0</v>
      </c>
      <c r="AF38" s="105">
        <f t="shared" si="0"/>
        <v>0</v>
      </c>
    </row>
    <row r="39" spans="2:32">
      <c r="B39" s="106" t="s">
        <v>614</v>
      </c>
      <c r="C39" s="107">
        <v>811101</v>
      </c>
      <c r="D39" s="107" t="s">
        <v>730</v>
      </c>
      <c r="E39" s="106" t="s">
        <v>729</v>
      </c>
      <c r="F39" s="103">
        <f>SUMIF('2 stopień 20_21'!G$9:G$761,"GIW.02.",'2 stopień 20_21'!I$9:I$761)</f>
        <v>0</v>
      </c>
      <c r="G39" s="104">
        <f>SUMIFS('2 stopień 20_21'!$I$9:$I$761,'2 stopień 20_21'!$G$9:$G$761,"GIW.02.",'2 stopień 20_21'!$K$9:$K$761,"CKZ Bielawa")</f>
        <v>0</v>
      </c>
      <c r="H39" s="104">
        <f>SUMIFS('2 stopień 20_21'!$I$9:$I$761,'2 stopień 20_21'!$G$9:$G$761,"GIW.02.",'2 stopień 20_21'!$K$9:$K$761,"GCKZ Głogów")</f>
        <v>0</v>
      </c>
      <c r="I39" s="104">
        <f>SUMIFS('2 stopień 20_21'!$I$9:$I$761,'2 stopień 20_21'!$G$9:$G$761,"GIW.02.",'2 stopień 20_21'!$K$9:$K$761,"CKZ Jawor")</f>
        <v>0</v>
      </c>
      <c r="J39" s="104">
        <f>SUMIFS('2 stopień 20_21'!$I$9:$I$761,'2 stopień 20_21'!$G$9:$G$761,"GIW.02.",'2 stopień 20_21'!$K$9:$K$761,"JCKZ Jelenia Góra")</f>
        <v>0</v>
      </c>
      <c r="K39" s="104">
        <f>SUMIFS('2 stopień 20_21'!$I$9:$I$761,'2 stopień 20_21'!$G$9:$G$761,"GIW.02.",'2 stopień 20_21'!$K$9:$K$761,"CKZ Kłodzko")</f>
        <v>0</v>
      </c>
      <c r="L39" s="104">
        <f>SUMIFS('2 stopień 20_21'!$I$9:$I$761,'2 stopień 20_21'!$G$9:$G$761,"GIW.02.",'2 stopień 20_21'!$K$9:$K$761,"CKZ Legnica")</f>
        <v>0</v>
      </c>
      <c r="M39" s="104">
        <f>SUMIFS('2 stopień 20_21'!$I$9:$I$761,'2 stopień 20_21'!$G$9:$G$761,"GIW.02.",'2 stopień 20_21'!$K$9:$K$761,"CKZ Oleśnica")</f>
        <v>0</v>
      </c>
      <c r="N39" s="104">
        <f>SUMIFS('2 stopień 20_21'!$I$9:$I$761,'2 stopień 20_21'!$G$9:$G$761,"GIW.02.",'2 stopień 20_21'!$K$9:$K$761,"CKZ Świdnica")</f>
        <v>0</v>
      </c>
      <c r="O39" s="104">
        <f>SUMIFS('2 stopień 20_21'!$I$9:$I$761,'2 stopień 20_21'!$G$9:$G$761,"GIW.02.",'2 stopień 20_21'!$K$9:$K$761,"CKZ Wołów")</f>
        <v>0</v>
      </c>
      <c r="P39" s="104">
        <f>SUMIFS('2 stopień 20_21'!$I$9:$I$761,'2 stopień 20_21'!$G$9:$G$761,"GIW.02.",'2 stopień 20_21'!$K$9:$K$761,"CKZ Ziębice")</f>
        <v>0</v>
      </c>
      <c r="Q39" s="104">
        <f>SUMIFS('2 stopień 20_21'!$I$9:$I$761,'2 stopień 20_21'!$G$9:$G$761,"GIW.02.",'2 stopień 20_21'!$K$9:$K$761,"CKZ Dobrodzień")</f>
        <v>0</v>
      </c>
      <c r="R39" s="104">
        <f>SUMIFS('2 stopień 20_21'!$I$9:$I$761,'2 stopień 20_21'!$G$9:$G$761,"GIW.02.",'2 stopień 20_21'!$K$9:$K$761,"CKZ Głubczyce")</f>
        <v>0</v>
      </c>
      <c r="S39" s="104">
        <f>SUMIFS('2 stopień 20_21'!$I$9:$I$761,'2 stopień 20_21'!$G$9:$G$761,"GIW.02.",'2 stopień 20_21'!$K$9:$K$761,"CKZ Kędzierzyn Koźle")</f>
        <v>0</v>
      </c>
      <c r="T39" s="104">
        <f>SUMIFS('2 stopień 20_21'!$I$9:$I$761,'2 stopień 20_21'!$G$9:$G$761,"GIW.02.",'2 stopień 20_21'!$K$9:$K$761,"CKZ Kluczbork")</f>
        <v>0</v>
      </c>
      <c r="U39" s="104">
        <f>SUMIFS('2 stopień 20_21'!$I$9:$I$761,'2 stopień 20_21'!$G$9:$G$761,"GIW.02.",'2 stopień 20_21'!$K$9:$K$761,"CKZ Krotoszyn")</f>
        <v>0</v>
      </c>
      <c r="V39" s="104">
        <f>SUMIFS('2 stopień 20_21'!$I$9:$I$761,'2 stopień 20_21'!$G$9:$G$761,"GIW.02.",'2 stopień 20_21'!$K$9:$K$761,"CKZ Olkusz")</f>
        <v>0</v>
      </c>
      <c r="W39" s="104">
        <f>SUMIFS('2 stopień 20_21'!$I$9:$I$761,'2 stopień 20_21'!$G$9:$G$761,"GIW.02.",'2 stopień 20_21'!$K$9:$K$761,"CKZ Wschowa")</f>
        <v>0</v>
      </c>
      <c r="X39" s="104">
        <f>SUMIFS('2 stopień 20_21'!$I$9:$I$761,'2 stopień 20_21'!$G$9:$G$761,"GIW.02.",'2 stopień 20_21'!$K$9:$K$761,"CKZ Zielona Góra")</f>
        <v>0</v>
      </c>
      <c r="Y39" s="104">
        <f>SUMIFS('2 stopień 20_21'!$I$9:$I$761,'2 stopień 20_21'!$G$9:$G$761,"GIW.02.",'2 stopień 20_21'!$K$9:$K$761,"Rzemieślnicza Wałbrzych")</f>
        <v>0</v>
      </c>
      <c r="Z39" s="104">
        <f>SUMIFS('2 stopień 20_21'!$I$9:$I$761,'2 stopień 20_21'!$G$9:$G$761,"GIW.02.",'2 stopień 20_21'!$K$9:$K$761,"CKZ Mosina")</f>
        <v>0</v>
      </c>
      <c r="AA39" s="104">
        <f>SUMIFS('2 stopień 20_21'!$I$9:$I$761,'2 stopień 20_21'!$G$9:$G$761,"GIW.02.",'2 stopień 20_21'!$K$9:$K$761,"CKZ Słupsk")</f>
        <v>0</v>
      </c>
      <c r="AB39" s="104">
        <f>SUMIFS('2 stopień 20_21'!$I$9:$I$761,'2 stopień 20_21'!$G$9:$G$761,"GIW.02.",'2 stopień 20_21'!$K$9:$K$761,"CKZ Opole")</f>
        <v>0</v>
      </c>
      <c r="AC39" s="104">
        <f>SUMIFS('2 stopień 20_21'!$I$9:$I$761,'2 stopień 20_21'!$G$9:$G$761,"GIW.02.",'2 stopień 20_21'!$K$9:$K$761,"CKZ Wrocław")</f>
        <v>0</v>
      </c>
      <c r="AD39" s="104">
        <f>SUMIFS('2 stopień 20_21'!$I$9:$I$761,'2 stopień 20_21'!$G$9:$G$761,"GIW.02.",'2 stopień 20_21'!$K$9:$K$761,"Brzeg Dolny")</f>
        <v>0</v>
      </c>
      <c r="AE39" s="104">
        <f>SUMIFS('2 stopień 20_21'!$I$9:$I$761,'2 stopień 20_21'!$G$9:$G$761,"GIW.02.",'2 stopień 20_21'!$K$9:$K$761,"")</f>
        <v>0</v>
      </c>
      <c r="AF39" s="105">
        <f t="shared" si="0"/>
        <v>0</v>
      </c>
    </row>
    <row r="40" spans="2:32">
      <c r="B40" s="106" t="s">
        <v>615</v>
      </c>
      <c r="C40" s="107">
        <v>811102</v>
      </c>
      <c r="D40" s="107" t="s">
        <v>732</v>
      </c>
      <c r="E40" s="106" t="s">
        <v>731</v>
      </c>
      <c r="F40" s="103">
        <f>SUMIF('2 stopień 20_21'!G$9:G$761,"GIW.03.",'2 stopień 20_21'!I$9:I$761)</f>
        <v>0</v>
      </c>
      <c r="G40" s="104">
        <f>SUMIFS('2 stopień 20_21'!$I$9:$I$761,'2 stopień 20_21'!$G$9:$G$761,"GIW.03.",'2 stopień 20_21'!$K$9:$K$761,"CKZ Bielawa")</f>
        <v>0</v>
      </c>
      <c r="H40" s="104">
        <f>SUMIFS('2 stopień 20_21'!$I$9:$I$761,'2 stopień 20_21'!$G$9:$G$761,"GIW.03.",'2 stopień 20_21'!$K$9:$K$761,"GCKZ Głogów")</f>
        <v>0</v>
      </c>
      <c r="I40" s="104">
        <f>SUMIFS('2 stopień 20_21'!$I$9:$I$761,'2 stopień 20_21'!$G$9:$G$761,"GIW.03.",'2 stopień 20_21'!$K$9:$K$761,"CKZ Jawor")</f>
        <v>0</v>
      </c>
      <c r="J40" s="104">
        <f>SUMIFS('2 stopień 20_21'!$I$9:$I$761,'2 stopień 20_21'!$G$9:$G$761,"GIW.03.",'2 stopień 20_21'!$K$9:$K$761,"JCKZ Jelenia Góra")</f>
        <v>0</v>
      </c>
      <c r="K40" s="104">
        <f>SUMIFS('2 stopień 20_21'!$I$9:$I$761,'2 stopień 20_21'!$G$9:$G$761,"GIW.03.",'2 stopień 20_21'!$K$9:$K$761,"CKZ Kłodzko")</f>
        <v>0</v>
      </c>
      <c r="L40" s="104">
        <f>SUMIFS('2 stopień 20_21'!$I$9:$I$761,'2 stopień 20_21'!$G$9:$G$761,"GIW.03.",'2 stopień 20_21'!$K$9:$K$761,"CKZ Legnica")</f>
        <v>0</v>
      </c>
      <c r="M40" s="104">
        <f>SUMIFS('2 stopień 20_21'!$I$9:$I$761,'2 stopień 20_21'!$G$9:$G$761,"GIW.03.",'2 stopień 20_21'!$K$9:$K$761,"CKZ Oleśnica")</f>
        <v>0</v>
      </c>
      <c r="N40" s="104">
        <f>SUMIFS('2 stopień 20_21'!$I$9:$I$761,'2 stopień 20_21'!$G$9:$G$761,"GIW.03.",'2 stopień 20_21'!$K$9:$K$761,"CKZ Świdnica")</f>
        <v>0</v>
      </c>
      <c r="O40" s="104">
        <f>SUMIFS('2 stopień 20_21'!$I$9:$I$761,'2 stopień 20_21'!$G$9:$G$761,"GIW.03.",'2 stopień 20_21'!$K$9:$K$761,"CKZ Wołów")</f>
        <v>0</v>
      </c>
      <c r="P40" s="104">
        <f>SUMIFS('2 stopień 20_21'!$I$9:$I$761,'2 stopień 20_21'!$G$9:$G$761,"GIW.03.",'2 stopień 20_21'!$K$9:$K$761,"CKZ Ziębice")</f>
        <v>0</v>
      </c>
      <c r="Q40" s="104">
        <f>SUMIFS('2 stopień 20_21'!$I$9:$I$761,'2 stopień 20_21'!$G$9:$G$761,"GIW.03.",'2 stopień 20_21'!$K$9:$K$761,"CKZ Dobrodzień")</f>
        <v>0</v>
      </c>
      <c r="R40" s="104">
        <f>SUMIFS('2 stopień 20_21'!$I$9:$I$761,'2 stopień 20_21'!$G$9:$G$761,"GIW.03.",'2 stopień 20_21'!$K$9:$K$761,"CKZ Głubczyce")</f>
        <v>0</v>
      </c>
      <c r="S40" s="104">
        <f>SUMIFS('2 stopień 20_21'!$I$9:$I$761,'2 stopień 20_21'!$G$9:$G$761,"GIW.03.",'2 stopień 20_21'!$K$9:$K$761,"CKZ Kędzierzyn Koźle")</f>
        <v>0</v>
      </c>
      <c r="T40" s="104">
        <f>SUMIFS('2 stopień 20_21'!$I$9:$I$761,'2 stopień 20_21'!$G$9:$G$761,"GIW.03.",'2 stopień 20_21'!$K$9:$K$761,"CKZ Kluczbork")</f>
        <v>0</v>
      </c>
      <c r="U40" s="104">
        <f>SUMIFS('2 stopień 20_21'!$I$9:$I$761,'2 stopień 20_21'!$G$9:$G$761,"GIW.03.",'2 stopień 20_21'!$K$9:$K$761,"CKZ Krotoszyn")</f>
        <v>0</v>
      </c>
      <c r="V40" s="104">
        <f>SUMIFS('2 stopień 20_21'!$I$9:$I$761,'2 stopień 20_21'!$G$9:$G$761,"GIW.03.",'2 stopień 20_21'!$K$9:$K$761,"CKZ Olkusz")</f>
        <v>0</v>
      </c>
      <c r="W40" s="104">
        <f>SUMIFS('2 stopień 20_21'!$I$9:$I$761,'2 stopień 20_21'!$G$9:$G$761,"GIW.03.",'2 stopień 20_21'!$K$9:$K$761,"CKZ Wschowa")</f>
        <v>0</v>
      </c>
      <c r="X40" s="104">
        <f>SUMIFS('2 stopień 20_21'!$I$9:$I$761,'2 stopień 20_21'!$G$9:$G$761,"GIW.03.",'2 stopień 20_21'!$K$9:$K$761,"CKZ Zielona Góra")</f>
        <v>0</v>
      </c>
      <c r="Y40" s="104">
        <f>SUMIFS('2 stopień 20_21'!$I$9:$I$761,'2 stopień 20_21'!$G$9:$G$761,"GIW.03.",'2 stopień 20_21'!$K$9:$K$761,"Rzemieślnicza Wałbrzych")</f>
        <v>0</v>
      </c>
      <c r="Z40" s="104">
        <f>SUMIFS('2 stopień 20_21'!$I$9:$I$761,'2 stopień 20_21'!$G$9:$G$761,"GIW.03.",'2 stopień 20_21'!$K$9:$K$761,"CKZ Mosina")</f>
        <v>0</v>
      </c>
      <c r="AA40" s="104">
        <f>SUMIFS('2 stopień 20_21'!$I$9:$I$761,'2 stopień 20_21'!$G$9:$G$761,"GIW.03.",'2 stopień 20_21'!$K$9:$K$761,"CKZ Słupsk")</f>
        <v>0</v>
      </c>
      <c r="AB40" s="104">
        <f>SUMIFS('2 stopień 20_21'!$I$9:$I$761,'2 stopień 20_21'!$G$9:$G$761,"GIW.03.",'2 stopień 20_21'!$K$9:$K$761,"CKZ Opole")</f>
        <v>0</v>
      </c>
      <c r="AC40" s="104">
        <f>SUMIFS('2 stopień 20_21'!$I$9:$I$761,'2 stopień 20_21'!$G$9:$G$761,"GIW.03.",'2 stopień 20_21'!$K$9:$K$761,"CKZ Wrocław")</f>
        <v>0</v>
      </c>
      <c r="AD40" s="104">
        <f>SUMIFS('2 stopień 20_21'!$I$9:$I$761,'2 stopień 20_21'!$G$9:$G$761,"GIW.03.",'2 stopień 20_21'!$K$9:$K$761,"Brzeg Dolny")</f>
        <v>0</v>
      </c>
      <c r="AE40" s="104">
        <f>SUMIFS('2 stopień 20_21'!$I$9:$I$761,'2 stopień 20_21'!$G$9:$G$761,"GIW.03.",'2 stopień 20_21'!$K$9:$K$761,"")</f>
        <v>0</v>
      </c>
      <c r="AF40" s="105">
        <f t="shared" si="0"/>
        <v>0</v>
      </c>
    </row>
    <row r="41" spans="2:32" ht="15.75" customHeight="1">
      <c r="B41" s="106" t="s">
        <v>616</v>
      </c>
      <c r="C41" s="107">
        <v>811112</v>
      </c>
      <c r="D41" s="107" t="s">
        <v>734</v>
      </c>
      <c r="E41" s="106" t="s">
        <v>733</v>
      </c>
      <c r="F41" s="103">
        <f>SUMIF('2 stopień 20_21'!G$9:G$761,"GIW.04.",'2 stopień 20_21'!I$9:I$761)</f>
        <v>0</v>
      </c>
      <c r="G41" s="104">
        <f>SUMIFS('2 stopień 20_21'!$I$9:$I$761,'2 stopień 20_21'!$G$9:$G$761,"GIW.04.",'2 stopień 20_21'!$K$9:$K$761,"CKZ Bielawa")</f>
        <v>0</v>
      </c>
      <c r="H41" s="104">
        <f>SUMIFS('2 stopień 20_21'!$I$9:$I$761,'2 stopień 20_21'!$G$9:$G$761,"GIW.04.",'2 stopień 20_21'!$K$9:$K$761,"GCKZ Głogów")</f>
        <v>0</v>
      </c>
      <c r="I41" s="104">
        <f>SUMIFS('2 stopień 20_21'!$I$9:$I$761,'2 stopień 20_21'!$G$9:$G$761,"GIW.04.",'2 stopień 20_21'!$K$9:$K$761,"CKZ Jawor")</f>
        <v>0</v>
      </c>
      <c r="J41" s="104">
        <f>SUMIFS('2 stopień 20_21'!$I$9:$I$761,'2 stopień 20_21'!$G$9:$G$761,"GIW.04.",'2 stopień 20_21'!$K$9:$K$761,"JCKZ Jelenia Góra")</f>
        <v>0</v>
      </c>
      <c r="K41" s="104">
        <f>SUMIFS('2 stopień 20_21'!$I$9:$I$761,'2 stopień 20_21'!$G$9:$G$761,"GIW.04.",'2 stopień 20_21'!$K$9:$K$761,"CKZ Kłodzko")</f>
        <v>0</v>
      </c>
      <c r="L41" s="104">
        <f>SUMIFS('2 stopień 20_21'!$I$9:$I$761,'2 stopień 20_21'!$G$9:$G$761,"GIW.04.",'2 stopień 20_21'!$K$9:$K$761,"CKZ Legnica")</f>
        <v>0</v>
      </c>
      <c r="M41" s="104">
        <f>SUMIFS('2 stopień 20_21'!$I$9:$I$761,'2 stopień 20_21'!$G$9:$G$761,"GIW.04.",'2 stopień 20_21'!$K$9:$K$761,"CKZ Oleśnica")</f>
        <v>0</v>
      </c>
      <c r="N41" s="104">
        <f>SUMIFS('2 stopień 20_21'!$I$9:$I$761,'2 stopień 20_21'!$G$9:$G$761,"GIW.04.",'2 stopień 20_21'!$K$9:$K$761,"CKZ Świdnica")</f>
        <v>0</v>
      </c>
      <c r="O41" s="104">
        <f>SUMIFS('2 stopień 20_21'!$I$9:$I$761,'2 stopień 20_21'!$G$9:$G$761,"GIW.04.",'2 stopień 20_21'!$K$9:$K$761,"CKZ Wołów")</f>
        <v>0</v>
      </c>
      <c r="P41" s="104">
        <f>SUMIFS('2 stopień 20_21'!$I$9:$I$761,'2 stopień 20_21'!$G$9:$G$761,"GIW.04.",'2 stopień 20_21'!$K$9:$K$761,"CKZ Ziębice")</f>
        <v>0</v>
      </c>
      <c r="Q41" s="104">
        <f>SUMIFS('2 stopień 20_21'!$I$9:$I$761,'2 stopień 20_21'!$G$9:$G$761,"GIW.04.",'2 stopień 20_21'!$K$9:$K$761,"CKZ Dobrodzień")</f>
        <v>0</v>
      </c>
      <c r="R41" s="104">
        <f>SUMIFS('2 stopień 20_21'!$I$9:$I$761,'2 stopień 20_21'!$G$9:$G$761,"GIW.04.",'2 stopień 20_21'!$K$9:$K$761,"CKZ Głubczyce")</f>
        <v>0</v>
      </c>
      <c r="S41" s="104">
        <f>SUMIFS('2 stopień 20_21'!$I$9:$I$761,'2 stopień 20_21'!$G$9:$G$761,"GIW.04.",'2 stopień 20_21'!$K$9:$K$761,"CKZ Kędzierzyn Koźle")</f>
        <v>0</v>
      </c>
      <c r="T41" s="104">
        <f>SUMIFS('2 stopień 20_21'!$I$9:$I$761,'2 stopień 20_21'!$G$9:$G$761,"GIW.04.",'2 stopień 20_21'!$K$9:$K$761,"CKZ Kluczbork")</f>
        <v>0</v>
      </c>
      <c r="U41" s="104">
        <f>SUMIFS('2 stopień 20_21'!$I$9:$I$761,'2 stopień 20_21'!$G$9:$G$761,"GIW.04.",'2 stopień 20_21'!$K$9:$K$761,"CKZ Krotoszyn")</f>
        <v>0</v>
      </c>
      <c r="V41" s="104">
        <f>SUMIFS('2 stopień 20_21'!$I$9:$I$761,'2 stopień 20_21'!$G$9:$G$761,"GIW.04.",'2 stopień 20_21'!$K$9:$K$761,"CKZ Olkusz")</f>
        <v>0</v>
      </c>
      <c r="W41" s="104">
        <f>SUMIFS('2 stopień 20_21'!$I$9:$I$761,'2 stopień 20_21'!$G$9:$G$761,"GIW.04.",'2 stopień 20_21'!$K$9:$K$761,"CKZ Wschowa")</f>
        <v>0</v>
      </c>
      <c r="X41" s="104">
        <f>SUMIFS('2 stopień 20_21'!$I$9:$I$761,'2 stopień 20_21'!$G$9:$G$761,"GIW.04.",'2 stopień 20_21'!$K$9:$K$761,"CKZ Zielona Góra")</f>
        <v>0</v>
      </c>
      <c r="Y41" s="104">
        <f>SUMIFS('2 stopień 20_21'!$I$9:$I$761,'2 stopień 20_21'!$G$9:$G$761,"GIW.04.",'2 stopień 20_21'!$K$9:$K$761,"Rzemieślnicza Wałbrzych")</f>
        <v>0</v>
      </c>
      <c r="Z41" s="104">
        <f>SUMIFS('2 stopień 20_21'!$I$9:$I$761,'2 stopień 20_21'!$G$9:$G$761,"GIW.04.",'2 stopień 20_21'!$K$9:$K$761,"CKZ Mosina")</f>
        <v>0</v>
      </c>
      <c r="AA41" s="104">
        <f>SUMIFS('2 stopień 20_21'!$I$9:$I$761,'2 stopień 20_21'!$G$9:$G$761,"GIW.04.",'2 stopień 20_21'!$K$9:$K$761,"CKZ Słupsk")</f>
        <v>0</v>
      </c>
      <c r="AB41" s="104">
        <f>SUMIFS('2 stopień 20_21'!$I$9:$I$761,'2 stopień 20_21'!$G$9:$G$761,"GIW.04.",'2 stopień 20_21'!$K$9:$K$761,"CKZ Opole")</f>
        <v>0</v>
      </c>
      <c r="AC41" s="104">
        <f>SUMIFS('2 stopień 20_21'!$I$9:$I$761,'2 stopień 20_21'!$G$9:$G$761,"GIW.04.",'2 stopień 20_21'!$K$9:$K$761,"CKZ Wrocław")</f>
        <v>0</v>
      </c>
      <c r="AD41" s="104">
        <f>SUMIFS('2 stopień 20_21'!$I$9:$I$761,'2 stopień 20_21'!$G$9:$G$761,"GIW.04.",'2 stopień 20_21'!$K$9:$K$761,"Brzeg Dolny")</f>
        <v>0</v>
      </c>
      <c r="AE41" s="104">
        <f>SUMIFS('2 stopień 20_21'!$I$9:$I$761,'2 stopień 20_21'!$G$9:$G$761,"GIW.04.",'2 stopień 20_21'!$K$9:$K$761,"")</f>
        <v>0</v>
      </c>
      <c r="AF41" s="105">
        <f t="shared" si="0"/>
        <v>0</v>
      </c>
    </row>
    <row r="42" spans="2:32">
      <c r="B42" s="106" t="s">
        <v>617</v>
      </c>
      <c r="C42" s="107">
        <v>811205</v>
      </c>
      <c r="D42" s="107" t="s">
        <v>736</v>
      </c>
      <c r="E42" s="106" t="s">
        <v>735</v>
      </c>
      <c r="F42" s="103">
        <f>SUMIF('2 stopień 20_21'!G$9:G$761,"GIW.05.",'2 stopień 20_21'!I$9:I$761)</f>
        <v>0</v>
      </c>
      <c r="G42" s="104">
        <f>SUMIFS('2 stopień 20_21'!$I$9:$I$761,'2 stopień 20_21'!$G$9:$G$761,"GIW.05.",'2 stopień 20_21'!$K$9:$K$761,"CKZ Bielawa")</f>
        <v>0</v>
      </c>
      <c r="H42" s="104">
        <f>SUMIFS('2 stopień 20_21'!$I$9:$I$761,'2 stopień 20_21'!$G$9:$G$761,"GIW.05.",'2 stopień 20_21'!$K$9:$K$761,"GCKZ Głogów")</f>
        <v>0</v>
      </c>
      <c r="I42" s="104">
        <f>SUMIFS('2 stopień 20_21'!$I$9:$I$761,'2 stopień 20_21'!$G$9:$G$761,"GIW.05.",'2 stopień 20_21'!$K$9:$K$761,"CKZ Jawor")</f>
        <v>0</v>
      </c>
      <c r="J42" s="104">
        <f>SUMIFS('2 stopień 20_21'!$I$9:$I$761,'2 stopień 20_21'!$G$9:$G$761,"GIW.05.",'2 stopień 20_21'!$K$9:$K$761,"JCKZ Jelenia Góra")</f>
        <v>0</v>
      </c>
      <c r="K42" s="104">
        <f>SUMIFS('2 stopień 20_21'!$I$9:$I$761,'2 stopień 20_21'!$G$9:$G$761,"GIW.05.",'2 stopień 20_21'!$K$9:$K$761,"CKZ Kłodzko")</f>
        <v>0</v>
      </c>
      <c r="L42" s="104">
        <f>SUMIFS('2 stopień 20_21'!$I$9:$I$761,'2 stopień 20_21'!$G$9:$G$761,"GIW.05.",'2 stopień 20_21'!$K$9:$K$761,"CKZ Legnica")</f>
        <v>0</v>
      </c>
      <c r="M42" s="104">
        <f>SUMIFS('2 stopień 20_21'!$I$9:$I$761,'2 stopień 20_21'!$G$9:$G$761,"GIW.05.",'2 stopień 20_21'!$K$9:$K$761,"CKZ Oleśnica")</f>
        <v>0</v>
      </c>
      <c r="N42" s="104">
        <f>SUMIFS('2 stopień 20_21'!$I$9:$I$761,'2 stopień 20_21'!$G$9:$G$761,"GIW.05.",'2 stopień 20_21'!$K$9:$K$761,"CKZ Świdnica")</f>
        <v>0</v>
      </c>
      <c r="O42" s="104">
        <f>SUMIFS('2 stopień 20_21'!$I$9:$I$761,'2 stopień 20_21'!$G$9:$G$761,"GIW.05.",'2 stopień 20_21'!$K$9:$K$761,"CKZ Wołów")</f>
        <v>0</v>
      </c>
      <c r="P42" s="104">
        <f>SUMIFS('2 stopień 20_21'!$I$9:$I$761,'2 stopień 20_21'!$G$9:$G$761,"GIW.05.",'2 stopień 20_21'!$K$9:$K$761,"CKZ Ziębice")</f>
        <v>0</v>
      </c>
      <c r="Q42" s="104">
        <f>SUMIFS('2 stopień 20_21'!$I$9:$I$761,'2 stopień 20_21'!$G$9:$G$761,"GIW.05.",'2 stopień 20_21'!$K$9:$K$761,"CKZ Dobrodzień")</f>
        <v>0</v>
      </c>
      <c r="R42" s="104">
        <f>SUMIFS('2 stopień 20_21'!$I$9:$I$761,'2 stopień 20_21'!$G$9:$G$761,"GIW.05.",'2 stopień 20_21'!$K$9:$K$761,"CKZ Głubczyce")</f>
        <v>0</v>
      </c>
      <c r="S42" s="104">
        <f>SUMIFS('2 stopień 20_21'!$I$9:$I$761,'2 stopień 20_21'!$G$9:$G$761,"GIW.05.",'2 stopień 20_21'!$K$9:$K$761,"CKZ Kędzierzyn Koźle")</f>
        <v>0</v>
      </c>
      <c r="T42" s="104">
        <f>SUMIFS('2 stopień 20_21'!$I$9:$I$761,'2 stopień 20_21'!$G$9:$G$761,"GIW.05.",'2 stopień 20_21'!$K$9:$K$761,"CKZ Kluczbork")</f>
        <v>0</v>
      </c>
      <c r="U42" s="104">
        <f>SUMIFS('2 stopień 20_21'!$I$9:$I$761,'2 stopień 20_21'!$G$9:$G$761,"GIW.05.",'2 stopień 20_21'!$K$9:$K$761,"CKZ Krotoszyn")</f>
        <v>0</v>
      </c>
      <c r="V42" s="104">
        <f>SUMIFS('2 stopień 20_21'!$I$9:$I$761,'2 stopień 20_21'!$G$9:$G$761,"GIW.05.",'2 stopień 20_21'!$K$9:$K$761,"CKZ Olkusz")</f>
        <v>0</v>
      </c>
      <c r="W42" s="104">
        <f>SUMIFS('2 stopień 20_21'!$I$9:$I$761,'2 stopień 20_21'!$G$9:$G$761,"GIW.05.",'2 stopień 20_21'!$K$9:$K$761,"CKZ Wschowa")</f>
        <v>0</v>
      </c>
      <c r="X42" s="104">
        <f>SUMIFS('2 stopień 20_21'!$I$9:$I$761,'2 stopień 20_21'!$G$9:$G$761,"GIW.05.",'2 stopień 20_21'!$K$9:$K$761,"CKZ Zielona Góra")</f>
        <v>0</v>
      </c>
      <c r="Y42" s="104">
        <f>SUMIFS('2 stopień 20_21'!$I$9:$I$761,'2 stopień 20_21'!$G$9:$G$761,"GIW.05.",'2 stopień 20_21'!$K$9:$K$761,"Rzemieślnicza Wałbrzych")</f>
        <v>0</v>
      </c>
      <c r="Z42" s="104">
        <f>SUMIFS('2 stopień 20_21'!$I$9:$I$761,'2 stopień 20_21'!$G$9:$G$761,"GIW.05.",'2 stopień 20_21'!$K$9:$K$761,"CKZ Mosina")</f>
        <v>0</v>
      </c>
      <c r="AA42" s="104">
        <f>SUMIFS('2 stopień 20_21'!$I$9:$I$761,'2 stopień 20_21'!$G$9:$G$761,"GIW.05.",'2 stopień 20_21'!$K$9:$K$761,"CKZ Słupsk")</f>
        <v>0</v>
      </c>
      <c r="AB42" s="104">
        <f>SUMIFS('2 stopień 20_21'!$I$9:$I$761,'2 stopień 20_21'!$G$9:$G$761,"GIW.05.",'2 stopień 20_21'!$K$9:$K$761,"CKZ Opole")</f>
        <v>0</v>
      </c>
      <c r="AC42" s="104">
        <f>SUMIFS('2 stopień 20_21'!$I$9:$I$761,'2 stopień 20_21'!$G$9:$G$761,"GIW.05.",'2 stopień 20_21'!$K$9:$K$761,"CKZ Wrocław")</f>
        <v>0</v>
      </c>
      <c r="AD42" s="104">
        <f>SUMIFS('2 stopień 20_21'!$I$9:$I$761,'2 stopień 20_21'!$G$9:$G$761,"GIW.05.",'2 stopień 20_21'!$K$9:$K$761,"Brzeg Dolny")</f>
        <v>0</v>
      </c>
      <c r="AE42" s="104">
        <f>SUMIFS('2 stopień 20_21'!$I$9:$I$761,'2 stopień 20_21'!$G$9:$G$761,"GIW.05.",'2 stopień 20_21'!$K$9:$K$761,"")</f>
        <v>0</v>
      </c>
      <c r="AF42" s="105">
        <f t="shared" si="0"/>
        <v>0</v>
      </c>
    </row>
    <row r="43" spans="2:32">
      <c r="B43" s="106" t="s">
        <v>618</v>
      </c>
      <c r="C43" s="107">
        <v>811305</v>
      </c>
      <c r="D43" s="107" t="s">
        <v>738</v>
      </c>
      <c r="E43" s="106" t="s">
        <v>737</v>
      </c>
      <c r="F43" s="103">
        <f>SUMIF('2 stopień 20_21'!G$9:G$761,"GIW.12.",'2 stopień 20_21'!I$9:I$761)</f>
        <v>0</v>
      </c>
      <c r="G43" s="104">
        <f>SUMIFS('2 stopień 20_21'!$I$9:$I$761,'2 stopień 20_21'!$G$9:$G$761,"GIW.12.",'2 stopień 20_21'!$K$9:$K$761,"CKZ Bielawa")</f>
        <v>0</v>
      </c>
      <c r="H43" s="104">
        <f>SUMIFS('2 stopień 20_21'!$I$9:$I$761,'2 stopień 20_21'!$G$9:$G$761,"GIW.12.",'2 stopień 20_21'!$K$9:$K$761,"GCKZ Głogów")</f>
        <v>0</v>
      </c>
      <c r="I43" s="104">
        <f>SUMIFS('2 stopień 20_21'!$I$9:$I$761,'2 stopień 20_21'!$G$9:$G$761,"GIW.12.",'2 stopień 20_21'!$K$9:$K$761,"CKZ Jawor")</f>
        <v>0</v>
      </c>
      <c r="J43" s="104">
        <f>SUMIFS('2 stopień 20_21'!$I$9:$I$761,'2 stopień 20_21'!$G$9:$G$761,"GIW.12.",'2 stopień 20_21'!$K$9:$K$761,"JCKZ Jelenia Góra")</f>
        <v>0</v>
      </c>
      <c r="K43" s="104">
        <f>SUMIFS('2 stopień 20_21'!$I$9:$I$761,'2 stopień 20_21'!$G$9:$G$761,"GIW.12.",'2 stopień 20_21'!$K$9:$K$761,"CKZ Kłodzko")</f>
        <v>0</v>
      </c>
      <c r="L43" s="104">
        <f>SUMIFS('2 stopień 20_21'!$I$9:$I$761,'2 stopień 20_21'!$G$9:$G$761,"GIW.12.",'2 stopień 20_21'!$K$9:$K$761,"CKZ Legnica")</f>
        <v>0</v>
      </c>
      <c r="M43" s="104">
        <f>SUMIFS('2 stopień 20_21'!$I$9:$I$761,'2 stopień 20_21'!$G$9:$G$761,"GIW.12.",'2 stopień 20_21'!$K$9:$K$761,"CKZ Oleśnica")</f>
        <v>0</v>
      </c>
      <c r="N43" s="104">
        <f>SUMIFS('2 stopień 20_21'!$I$9:$I$761,'2 stopień 20_21'!$G$9:$G$761,"GIW.12.",'2 stopień 20_21'!$K$9:$K$761,"CKZ Świdnica")</f>
        <v>0</v>
      </c>
      <c r="O43" s="104">
        <f>SUMIFS('2 stopień 20_21'!$I$9:$I$761,'2 stopień 20_21'!$G$9:$G$761,"GIW.12.",'2 stopień 20_21'!$K$9:$K$761,"CKZ Wołów")</f>
        <v>0</v>
      </c>
      <c r="P43" s="104">
        <f>SUMIFS('2 stopień 20_21'!$I$9:$I$761,'2 stopień 20_21'!$G$9:$G$761,"GIW.12.",'2 stopień 20_21'!$K$9:$K$761,"CKZ Ziębice")</f>
        <v>0</v>
      </c>
      <c r="Q43" s="104">
        <f>SUMIFS('2 stopień 20_21'!$I$9:$I$761,'2 stopień 20_21'!$G$9:$G$761,"GIW.12.",'2 stopień 20_21'!$K$9:$K$761,"CKZ Dobrodzień")</f>
        <v>0</v>
      </c>
      <c r="R43" s="104">
        <f>SUMIFS('2 stopień 20_21'!$I$9:$I$761,'2 stopień 20_21'!$G$9:$G$761,"GIW.12.",'2 stopień 20_21'!$K$9:$K$761,"CKZ Głubczyce")</f>
        <v>0</v>
      </c>
      <c r="S43" s="104">
        <f>SUMIFS('2 stopień 20_21'!$I$9:$I$761,'2 stopień 20_21'!$G$9:$G$761,"GIW.12.",'2 stopień 20_21'!$K$9:$K$761,"CKZ Kędzierzyn Koźle")</f>
        <v>0</v>
      </c>
      <c r="T43" s="104">
        <f>SUMIFS('2 stopień 20_21'!$I$9:$I$761,'2 stopień 20_21'!$G$9:$G$761,"GIW.12.",'2 stopień 20_21'!$K$9:$K$761,"CKZ Kluczbork")</f>
        <v>0</v>
      </c>
      <c r="U43" s="104">
        <f>SUMIFS('2 stopień 20_21'!$I$9:$I$761,'2 stopień 20_21'!$G$9:$G$761,"GIW.12.",'2 stopień 20_21'!$K$9:$K$761,"CKZ Krotoszyn")</f>
        <v>0</v>
      </c>
      <c r="V43" s="104">
        <f>SUMIFS('2 stopień 20_21'!$I$9:$I$761,'2 stopień 20_21'!$G$9:$G$761,"GIW.12.",'2 stopień 20_21'!$K$9:$K$761,"CKZ Olkusz")</f>
        <v>0</v>
      </c>
      <c r="W43" s="104">
        <f>SUMIFS('2 stopień 20_21'!$I$9:$I$761,'2 stopień 20_21'!$G$9:$G$761,"GIW.12.",'2 stopień 20_21'!$K$9:$K$761,"CKZ Wschowa")</f>
        <v>0</v>
      </c>
      <c r="X43" s="104">
        <f>SUMIFS('2 stopień 20_21'!$I$9:$I$761,'2 stopień 20_21'!$G$9:$G$761,"GIW.12.",'2 stopień 20_21'!$K$9:$K$761,"CKZ Zielona Góra")</f>
        <v>0</v>
      </c>
      <c r="Y43" s="104">
        <f>SUMIFS('2 stopień 20_21'!$I$9:$I$761,'2 stopień 20_21'!$G$9:$G$761,"GIW.12.",'2 stopień 20_21'!$K$9:$K$761,"Rzemieślnicza Wałbrzych")</f>
        <v>0</v>
      </c>
      <c r="Z43" s="104">
        <f>SUMIFS('2 stopień 20_21'!$I$9:$I$761,'2 stopień 20_21'!$G$9:$G$761,"GIW.12.",'2 stopień 20_21'!$K$9:$K$761,"CKZ Mosina")</f>
        <v>0</v>
      </c>
      <c r="AA43" s="104">
        <f>SUMIFS('2 stopień 20_21'!$I$9:$I$761,'2 stopień 20_21'!$G$9:$G$761,"GIW.12.",'2 stopień 20_21'!$K$9:$K$761,"CKZ Słupsk")</f>
        <v>0</v>
      </c>
      <c r="AB43" s="104">
        <f>SUMIFS('2 stopień 20_21'!$I$9:$I$761,'2 stopień 20_21'!$G$9:$G$761,"GIW.12.",'2 stopień 20_21'!$K$9:$K$761,"CKZ Opole")</f>
        <v>0</v>
      </c>
      <c r="AC43" s="104">
        <f>SUMIFS('2 stopień 20_21'!$I$9:$I$761,'2 stopień 20_21'!$G$9:$G$761,"GIW.12.",'2 stopień 20_21'!$K$9:$K$761,"CKZ Wrocław")</f>
        <v>0</v>
      </c>
      <c r="AD43" s="104">
        <f>SUMIFS('2 stopień 20_21'!$I$9:$I$761,'2 stopień 20_21'!$G$9:$G$761,"GIW.12.",'2 stopień 20_21'!$K$9:$K$761,"Brzeg Dolny")</f>
        <v>0</v>
      </c>
      <c r="AE43" s="104">
        <f>SUMIFS('2 stopień 20_21'!$I$9:$I$761,'2 stopień 20_21'!$G$9:$G$761,"GIW.12.",'2 stopień 20_21'!$K$9:$K$761,"")</f>
        <v>0</v>
      </c>
      <c r="AF43" s="105">
        <f t="shared" si="0"/>
        <v>0</v>
      </c>
    </row>
    <row r="44" spans="2:32" ht="15.75" customHeight="1">
      <c r="B44" s="106" t="s">
        <v>79</v>
      </c>
      <c r="C44" s="107">
        <v>522301</v>
      </c>
      <c r="D44" s="107" t="s">
        <v>742</v>
      </c>
      <c r="E44" s="106" t="s">
        <v>741</v>
      </c>
      <c r="F44" s="103">
        <f>SUMIF('2 stopień 20_21'!G$9:G$761,"HAN.01.",'2 stopień 20_21'!I$9:I$761)</f>
        <v>455</v>
      </c>
      <c r="G44" s="104">
        <f>SUMIFS('2 stopień 20_21'!$I$9:$I$761,'2 stopień 20_21'!$G$9:$G$761,"HAN.01.",'2 stopień 20_21'!$K$9:$K$761,"CKZ Bielawa")</f>
        <v>0</v>
      </c>
      <c r="H44" s="104">
        <f>SUMIFS('2 stopień 20_21'!$I$9:$I$761,'2 stopień 20_21'!$G$9:$G$761,"HAN.01.",'2 stopień 20_21'!$K$9:$K$761,"GCKZ Głogów")</f>
        <v>0</v>
      </c>
      <c r="I44" s="104">
        <f>SUMIFS('2 stopień 20_21'!$I$9:$I$761,'2 stopień 20_21'!$G$9:$G$761,"HAN.01.",'2 stopień 20_21'!$K$9:$K$761,"CKZ Jawor")</f>
        <v>0</v>
      </c>
      <c r="J44" s="104">
        <f>SUMIFS('2 stopień 20_21'!$I$9:$I$761,'2 stopień 20_21'!$G$9:$G$761,"HAN.01.",'2 stopień 20_21'!$K$9:$K$761,"JCKZ Jelenia Góra")</f>
        <v>65</v>
      </c>
      <c r="K44" s="104">
        <f>SUMIFS('2 stopień 20_21'!$I$9:$I$761,'2 stopień 20_21'!$G$9:$G$761,"HAN.01.",'2 stopień 20_21'!$K$9:$K$761,"CKZ Kłodzko")</f>
        <v>28</v>
      </c>
      <c r="L44" s="104">
        <f>SUMIFS('2 stopień 20_21'!$I$9:$I$761,'2 stopień 20_21'!$G$9:$G$761,"HAN.01.",'2 stopień 20_21'!$K$9:$K$761,"CKZ Legnica")</f>
        <v>139</v>
      </c>
      <c r="M44" s="104">
        <f>SUMIFS('2 stopień 20_21'!$I$9:$I$761,'2 stopień 20_21'!$G$9:$G$761,"HAN.01.",'2 stopień 20_21'!$K$9:$K$761,"CKZ Oleśnica")</f>
        <v>60</v>
      </c>
      <c r="N44" s="104">
        <f>SUMIFS('2 stopień 20_21'!$I$9:$I$761,'2 stopień 20_21'!$G$9:$G$761,"HAN.01.",'2 stopień 20_21'!$K$9:$K$761,"CKZ Świdnica")</f>
        <v>67</v>
      </c>
      <c r="O44" s="104">
        <f>SUMIFS('2 stopień 20_21'!$I$9:$I$761,'2 stopień 20_21'!$G$9:$G$761,"HAN.01.",'2 stopień 20_21'!$K$9:$K$761,"CKZ Wołów")</f>
        <v>49</v>
      </c>
      <c r="P44" s="104">
        <f>SUMIFS('2 stopień 20_21'!$I$9:$I$761,'2 stopień 20_21'!$G$9:$G$761,"HAN.01.",'2 stopień 20_21'!$K$9:$K$761,"CKZ Ziębice")</f>
        <v>28</v>
      </c>
      <c r="Q44" s="104">
        <f>SUMIFS('2 stopień 20_21'!$I$9:$I$761,'2 stopień 20_21'!$G$9:$G$761,"HAN.01.",'2 stopień 20_21'!$K$9:$K$761,"CKZ Dobrodzień")</f>
        <v>0</v>
      </c>
      <c r="R44" s="104">
        <f>SUMIFS('2 stopień 20_21'!$I$9:$I$761,'2 stopień 20_21'!$G$9:$G$761,"HAN.01.",'2 stopień 20_21'!$K$9:$K$761,"CKZ Głubczyce")</f>
        <v>0</v>
      </c>
      <c r="S44" s="104">
        <f>SUMIFS('2 stopień 20_21'!$I$9:$I$761,'2 stopień 20_21'!$G$9:$G$761,"HAN.01.",'2 stopień 20_21'!$K$9:$K$761,"CKZ Kędzierzyn Koźle")</f>
        <v>0</v>
      </c>
      <c r="T44" s="104">
        <f>SUMIFS('2 stopień 20_21'!$I$9:$I$761,'2 stopień 20_21'!$G$9:$G$761,"HAN.01.",'2 stopień 20_21'!$K$9:$K$761,"CKZ Kluczbork")</f>
        <v>0</v>
      </c>
      <c r="U44" s="104">
        <f>SUMIFS('2 stopień 20_21'!$I$9:$I$761,'2 stopień 20_21'!$G$9:$G$761,"HAN.01.",'2 stopień 20_21'!$K$9:$K$761,"CKZ Krotoszyn")</f>
        <v>0</v>
      </c>
      <c r="V44" s="104">
        <f>SUMIFS('2 stopień 20_21'!$I$9:$I$761,'2 stopień 20_21'!$G$9:$G$761,"HAN.01.",'2 stopień 20_21'!$K$9:$K$761,"CKZ Olkusz")</f>
        <v>0</v>
      </c>
      <c r="W44" s="104">
        <f>SUMIFS('2 stopień 20_21'!$I$9:$I$761,'2 stopień 20_21'!$G$9:$G$761,"HAN.01.",'2 stopień 20_21'!$K$9:$K$761,"CKZ Wschowa")</f>
        <v>0</v>
      </c>
      <c r="X44" s="104">
        <f>SUMIFS('2 stopień 20_21'!$I$9:$I$761,'2 stopień 20_21'!$G$9:$G$761,"HAN.01.",'2 stopień 20_21'!$K$9:$K$761,"CKZ Zielona Góra")</f>
        <v>0</v>
      </c>
      <c r="Y44" s="104">
        <f>SUMIFS('2 stopień 20_21'!$I$9:$I$761,'2 stopień 20_21'!$G$9:$G$761,"HAN.01.",'2 stopień 20_21'!$K$9:$K$761,"Rzemieślnicza Wałbrzych")</f>
        <v>19</v>
      </c>
      <c r="Z44" s="104">
        <f>SUMIFS('2 stopień 20_21'!$I$9:$I$761,'2 stopień 20_21'!$G$9:$G$761,"HAN.01.",'2 stopień 20_21'!$K$9:$K$761,"CKZ Mosina")</f>
        <v>0</v>
      </c>
      <c r="AA44" s="104">
        <f>SUMIFS('2 stopień 20_21'!$I$9:$I$761,'2 stopień 20_21'!$G$9:$G$761,"HAN.01.",'2 stopień 20_21'!$K$9:$K$761,"CKZ Słupsk")</f>
        <v>0</v>
      </c>
      <c r="AB44" s="104">
        <f>SUMIFS('2 stopień 20_21'!$I$9:$I$761,'2 stopień 20_21'!$G$9:$G$761,"HAN.01.",'2 stopień 20_21'!$K$9:$K$761,"CKZ Opole")</f>
        <v>0</v>
      </c>
      <c r="AC44" s="104">
        <f>SUMIFS('2 stopień 20_21'!$I$9:$I$761,'2 stopień 20_21'!$G$9:$G$761,"HAN.01.",'2 stopień 20_21'!$K$9:$K$761,"CKZ Wrocław")</f>
        <v>0</v>
      </c>
      <c r="AD44" s="104">
        <f>SUMIFS('2 stopień 20_21'!$I$9:$I$761,'2 stopień 20_21'!$G$9:$G$761,"HAN.01.",'2 stopień 20_21'!$K$9:$K$761,"Brzeg Dolny")</f>
        <v>0</v>
      </c>
      <c r="AE44" s="104">
        <f>SUMIFS('2 stopień 20_21'!$I$9:$I$761,'2 stopień 20_21'!$G$9:$G$761,"HAN.01.",'2 stopień 20_21'!$K$9:$K$761,"")</f>
        <v>0</v>
      </c>
      <c r="AF44" s="105">
        <f t="shared" si="0"/>
        <v>455</v>
      </c>
    </row>
    <row r="45" spans="2:32">
      <c r="B45" s="106" t="s">
        <v>619</v>
      </c>
      <c r="C45" s="107">
        <v>513101</v>
      </c>
      <c r="D45" s="107" t="s">
        <v>740</v>
      </c>
      <c r="E45" s="106" t="s">
        <v>739</v>
      </c>
      <c r="F45" s="103">
        <f>SUMIF('2 stopień 20_21'!G$9:G$761,"HGT.01.",'2 stopień 20_21'!I$9:I$761)</f>
        <v>4</v>
      </c>
      <c r="G45" s="104">
        <f>SUMIFS('2 stopień 20_21'!$I$9:$I$761,'2 stopień 20_21'!$G$9:$G$761,"HGT.01.",'2 stopień 20_21'!$K$9:$K$761,"CKZ Bielawa")</f>
        <v>0</v>
      </c>
      <c r="H45" s="104">
        <f>SUMIFS('2 stopień 20_21'!$I$9:$I$761,'2 stopień 20_21'!$G$9:$G$761,"HGT.01.",'2 stopień 20_21'!$K$9:$K$761,"GCKZ Głogów")</f>
        <v>0</v>
      </c>
      <c r="I45" s="104">
        <f>SUMIFS('2 stopień 20_21'!$I$9:$I$761,'2 stopień 20_21'!$G$9:$G$761,"HGT.01.",'2 stopień 20_21'!$K$9:$K$761,"CKZ Jawor")</f>
        <v>0</v>
      </c>
      <c r="J45" s="104">
        <f>SUMIFS('2 stopień 20_21'!$I$9:$I$761,'2 stopień 20_21'!$G$9:$G$761,"HGT.01.",'2 stopień 20_21'!$K$9:$K$761,"JCKZ Jelenia Góra")</f>
        <v>0</v>
      </c>
      <c r="K45" s="104">
        <f>SUMIFS('2 stopień 20_21'!$I$9:$I$761,'2 stopień 20_21'!$G$9:$G$761,"HGT.01.",'2 stopień 20_21'!$K$9:$K$761,"CKZ Kłodzko")</f>
        <v>0</v>
      </c>
      <c r="L45" s="104">
        <f>SUMIFS('2 stopień 20_21'!$I$9:$I$761,'2 stopień 20_21'!$G$9:$G$761,"HGT.01.",'2 stopień 20_21'!$K$9:$K$761,"CKZ Legnica")</f>
        <v>0</v>
      </c>
      <c r="M45" s="104">
        <f>SUMIFS('2 stopień 20_21'!$I$9:$I$761,'2 stopień 20_21'!$G$9:$G$761,"HGT.01.",'2 stopień 20_21'!$K$9:$K$761,"CKZ Oleśnica")</f>
        <v>0</v>
      </c>
      <c r="N45" s="104">
        <f>SUMIFS('2 stopień 20_21'!$I$9:$I$761,'2 stopień 20_21'!$G$9:$G$761,"HGT.01.",'2 stopień 20_21'!$K$9:$K$761,"CKZ Świdnica")</f>
        <v>0</v>
      </c>
      <c r="O45" s="104">
        <f>SUMIFS('2 stopień 20_21'!$I$9:$I$761,'2 stopień 20_21'!$G$9:$G$761,"HGT.01.",'2 stopień 20_21'!$K$9:$K$761,"CKZ Wołów")</f>
        <v>0</v>
      </c>
      <c r="P45" s="104">
        <f>SUMIFS('2 stopień 20_21'!$I$9:$I$761,'2 stopień 20_21'!$G$9:$G$761,"HGT.01.",'2 stopień 20_21'!$K$9:$K$761,"CKZ Ziębice")</f>
        <v>0</v>
      </c>
      <c r="Q45" s="104">
        <f>SUMIFS('2 stopień 20_21'!$I$9:$I$761,'2 stopień 20_21'!$G$9:$G$761,"HGT.01.",'2 stopień 20_21'!$K$9:$K$761,"CKZ Dobrodzień")</f>
        <v>0</v>
      </c>
      <c r="R45" s="104">
        <f>SUMIFS('2 stopień 20_21'!$I$9:$I$761,'2 stopień 20_21'!$G$9:$G$761,"HGT.01.",'2 stopień 20_21'!$K$9:$K$761,"CKZ Głubczyce")</f>
        <v>0</v>
      </c>
      <c r="S45" s="104">
        <f>SUMIFS('2 stopień 20_21'!$I$9:$I$761,'2 stopień 20_21'!$G$9:$G$761,"HGT.01.",'2 stopień 20_21'!$K$9:$K$761,"CKZ Kędzierzyn Koźle")</f>
        <v>0</v>
      </c>
      <c r="T45" s="104">
        <f>SUMIFS('2 stopień 20_21'!$I$9:$I$761,'2 stopień 20_21'!$G$9:$G$761,"HGT.01.",'2 stopień 20_21'!$K$9:$K$761,"CKZ Kluczbork")</f>
        <v>0</v>
      </c>
      <c r="U45" s="104">
        <f>SUMIFS('2 stopień 20_21'!$I$9:$I$761,'2 stopień 20_21'!$G$9:$G$761,"HGT.01.",'2 stopień 20_21'!$K$9:$K$761,"CKZ Krotoszyn")</f>
        <v>0</v>
      </c>
      <c r="V45" s="104">
        <f>SUMIFS('2 stopień 20_21'!$I$9:$I$761,'2 stopień 20_21'!$G$9:$G$761,"HGT.01.",'2 stopień 20_21'!$K$9:$K$761,"CKZ Olkusz")</f>
        <v>2</v>
      </c>
      <c r="W45" s="104">
        <f>SUMIFS('2 stopień 20_21'!$I$9:$I$761,'2 stopień 20_21'!$G$9:$G$761,"HGT.01.",'2 stopień 20_21'!$K$9:$K$761,"CKZ Wschowa")</f>
        <v>0</v>
      </c>
      <c r="X45" s="104">
        <f>SUMIFS('2 stopień 20_21'!$I$9:$I$761,'2 stopień 20_21'!$G$9:$G$761,"HGT.01.",'2 stopień 20_21'!$K$9:$K$761,"CKZ Zielona Góra")</f>
        <v>2</v>
      </c>
      <c r="Y45" s="104">
        <f>SUMIFS('2 stopień 20_21'!$I$9:$I$761,'2 stopień 20_21'!$G$9:$G$761,"HGT.01.",'2 stopień 20_21'!$K$9:$K$761,"Rzemieślnicza Wałbrzych")</f>
        <v>0</v>
      </c>
      <c r="Z45" s="104">
        <f>SUMIFS('2 stopień 20_21'!$I$9:$I$761,'2 stopień 20_21'!$G$9:$G$761,"HGT.01.",'2 stopień 20_21'!$K$9:$K$761,"CKZ Mosina")</f>
        <v>0</v>
      </c>
      <c r="AA45" s="104">
        <f>SUMIFS('2 stopień 20_21'!$I$9:$I$761,'2 stopień 20_21'!$G$9:$G$761,"HGT.01.",'2 stopień 20_21'!$K$9:$K$761,"CKZ Słupsk")</f>
        <v>0</v>
      </c>
      <c r="AB45" s="104">
        <f>SUMIFS('2 stopień 20_21'!$I$9:$I$761,'2 stopień 20_21'!$G$9:$G$761,"HGT.01.",'2 stopień 20_21'!$K$9:$K$761,"CKZ Opole")</f>
        <v>0</v>
      </c>
      <c r="AC45" s="104">
        <f>SUMIFS('2 stopień 20_21'!$I$9:$I$761,'2 stopień 20_21'!$G$9:$G$761,"HGT.01.",'2 stopień 20_21'!$K$9:$K$761,"CKZ Wrocław")</f>
        <v>0</v>
      </c>
      <c r="AD45" s="104">
        <f>SUMIFS('2 stopień 20_21'!$I$9:$I$761,'2 stopień 20_21'!$G$9:$G$761,"HGT.01.",'2 stopień 20_21'!$K$9:$K$761,"Brzeg Dolny")</f>
        <v>0</v>
      </c>
      <c r="AE45" s="104">
        <f>SUMIFS('2 stopień 20_21'!$I$9:$I$761,'2 stopień 20_21'!$G$9:$G$761,"HGT.01.",'2 stopień 20_21'!$K$9:$K$761,"")</f>
        <v>0</v>
      </c>
      <c r="AF45" s="105">
        <f t="shared" si="0"/>
        <v>4</v>
      </c>
    </row>
    <row r="46" spans="2:32">
      <c r="B46" s="106" t="s">
        <v>80</v>
      </c>
      <c r="C46" s="107">
        <v>512001</v>
      </c>
      <c r="D46" s="107" t="s">
        <v>81</v>
      </c>
      <c r="E46" s="106" t="s">
        <v>743</v>
      </c>
      <c r="F46" s="103">
        <f>SUMIF('2 stopień 20_21'!G$9:G$761,"HGT.02.",'2 stopień 20_21'!I$9:I$761)</f>
        <v>317</v>
      </c>
      <c r="G46" s="104">
        <f>SUMIFS('2 stopień 20_21'!$I$9:$I$761,'2 stopień 20_21'!$G$9:$G$761,"HGT.02.",'2 stopień 20_21'!$K$9:$K$761,"CKZ Bielawa")</f>
        <v>0</v>
      </c>
      <c r="H46" s="104">
        <f>SUMIFS('2 stopień 20_21'!$I$9:$I$761,'2 stopień 20_21'!$G$9:$G$761,"HGT.02.",'2 stopień 20_21'!$K$9:$K$761,"GCKZ Głogów")</f>
        <v>0</v>
      </c>
      <c r="I46" s="104">
        <f>SUMIFS('2 stopień 20_21'!$I$9:$I$761,'2 stopień 20_21'!$G$9:$G$761,"HGT.02.",'2 stopień 20_21'!$K$9:$K$761,"CKZ Jawor")</f>
        <v>0</v>
      </c>
      <c r="J46" s="104">
        <f>SUMIFS('2 stopień 20_21'!$I$9:$I$761,'2 stopień 20_21'!$G$9:$G$761,"HGT.02.",'2 stopień 20_21'!$K$9:$K$761,"JCKZ Jelenia Góra")</f>
        <v>61</v>
      </c>
      <c r="K46" s="104">
        <f>SUMIFS('2 stopień 20_21'!$I$9:$I$761,'2 stopień 20_21'!$G$9:$G$761,"HGT.02.",'2 stopień 20_21'!$K$9:$K$761,"CKZ Kłodzko")</f>
        <v>41</v>
      </c>
      <c r="L46" s="104">
        <f>SUMIFS('2 stopień 20_21'!$I$9:$I$761,'2 stopień 20_21'!$G$9:$G$761,"HGT.02.",'2 stopień 20_21'!$K$9:$K$761,"CKZ Legnica")</f>
        <v>65</v>
      </c>
      <c r="M46" s="104">
        <f>SUMIFS('2 stopień 20_21'!$I$9:$I$761,'2 stopień 20_21'!$G$9:$G$761,"HGT.02.",'2 stopień 20_21'!$K$9:$K$761,"CKZ Oleśnica")</f>
        <v>33</v>
      </c>
      <c r="N46" s="104">
        <f>SUMIFS('2 stopień 20_21'!$I$9:$I$761,'2 stopień 20_21'!$G$9:$G$761,"HGT.02.",'2 stopień 20_21'!$K$9:$K$761,"CKZ Świdnica")</f>
        <v>46</v>
      </c>
      <c r="O46" s="104">
        <f>SUMIFS('2 stopień 20_21'!$I$9:$I$761,'2 stopień 20_21'!$G$9:$G$761,"HGT.02.",'2 stopień 20_21'!$K$9:$K$761,"CKZ Wołów")</f>
        <v>31</v>
      </c>
      <c r="P46" s="104">
        <f>SUMIFS('2 stopień 20_21'!$I$9:$I$761,'2 stopień 20_21'!$G$9:$G$761,"HGT.02.",'2 stopień 20_21'!$K$9:$K$761,"CKZ Ziębice")</f>
        <v>29</v>
      </c>
      <c r="Q46" s="104">
        <f>SUMIFS('2 stopień 20_21'!$I$9:$I$761,'2 stopień 20_21'!$G$9:$G$761,"HGT.02.",'2 stopień 20_21'!$K$9:$K$761,"CKZ Dobrodzień")</f>
        <v>0</v>
      </c>
      <c r="R46" s="104">
        <f>SUMIFS('2 stopień 20_21'!$I$9:$I$761,'2 stopień 20_21'!$G$9:$G$761,"HGT.02.",'2 stopień 20_21'!$K$9:$K$761,"CKZ Głubczyce")</f>
        <v>0</v>
      </c>
      <c r="S46" s="104">
        <f>SUMIFS('2 stopień 20_21'!$I$9:$I$761,'2 stopień 20_21'!$G$9:$G$761,"HGT.02.",'2 stopień 20_21'!$K$9:$K$761,"CKZ Kędzierzyn Koźle")</f>
        <v>0</v>
      </c>
      <c r="T46" s="104">
        <f>SUMIFS('2 stopień 20_21'!$I$9:$I$761,'2 stopień 20_21'!$G$9:$G$761,"HGT.02.",'2 stopień 20_21'!$K$9:$K$761,"CKZ Kluczbork")</f>
        <v>0</v>
      </c>
      <c r="U46" s="104">
        <f>SUMIFS('2 stopień 20_21'!$I$9:$I$761,'2 stopień 20_21'!$G$9:$G$761,"HGT.02.",'2 stopień 20_21'!$K$9:$K$761,"CKZ Krotoszyn")</f>
        <v>0</v>
      </c>
      <c r="V46" s="104">
        <f>SUMIFS('2 stopień 20_21'!$I$9:$I$761,'2 stopień 20_21'!$G$9:$G$761,"HGT.02.",'2 stopień 20_21'!$K$9:$K$761,"CKZ Olkusz")</f>
        <v>0</v>
      </c>
      <c r="W46" s="104">
        <f>SUMIFS('2 stopień 20_21'!$I$9:$I$761,'2 stopień 20_21'!$G$9:$G$761,"HGT.02.",'2 stopień 20_21'!$K$9:$K$761,"CKZ Wschowa")</f>
        <v>7</v>
      </c>
      <c r="X46" s="104">
        <f>SUMIFS('2 stopień 20_21'!$I$9:$I$761,'2 stopień 20_21'!$G$9:$G$761,"HGT.02.",'2 stopień 20_21'!$K$9:$K$761,"CKZ Zielona Góra")</f>
        <v>0</v>
      </c>
      <c r="Y46" s="104">
        <f>SUMIFS('2 stopień 20_21'!$I$9:$I$761,'2 stopień 20_21'!$G$9:$G$761,"HGT.02.",'2 stopień 20_21'!$K$9:$K$761,"Rzemieślnicza Wałbrzych")</f>
        <v>0</v>
      </c>
      <c r="Z46" s="104">
        <f>SUMIFS('2 stopień 20_21'!$I$9:$I$761,'2 stopień 20_21'!$G$9:$G$761,"HGT.02.",'2 stopień 20_21'!$K$9:$K$761,"CKZ Mosina")</f>
        <v>0</v>
      </c>
      <c r="AA46" s="104">
        <f>SUMIFS('2 stopień 20_21'!$I$9:$I$761,'2 stopień 20_21'!$G$9:$G$761,"HGT.02.",'2 stopień 20_21'!$K$9:$K$761,"CKZ Słupsk")</f>
        <v>0</v>
      </c>
      <c r="AB46" s="104">
        <f>SUMIFS('2 stopień 20_21'!$I$9:$I$761,'2 stopień 20_21'!$G$9:$G$761,"HGT.02.",'2 stopień 20_21'!$K$9:$K$761,"CKZ Opole")</f>
        <v>4</v>
      </c>
      <c r="AC46" s="104">
        <f>SUMIFS('2 stopień 20_21'!$I$9:$I$761,'2 stopień 20_21'!$G$9:$G$761,"HGT.02.",'2 stopień 20_21'!$K$9:$K$761,"CKZ Wrocław")</f>
        <v>0</v>
      </c>
      <c r="AD46" s="104">
        <f>SUMIFS('2 stopień 20_21'!$I$9:$I$761,'2 stopień 20_21'!$G$9:$G$761,"HGT.02.",'2 stopień 20_21'!$K$9:$K$761,"Brzeg Dolny")</f>
        <v>0</v>
      </c>
      <c r="AE46" s="104">
        <f>SUMIFS('2 stopień 20_21'!$I$9:$I$761,'2 stopień 20_21'!$G$9:$G$761,"HGT.02.",'2 stopień 20_21'!$K$9:$K$761,"")</f>
        <v>0</v>
      </c>
      <c r="AF46" s="105">
        <f t="shared" si="0"/>
        <v>317</v>
      </c>
    </row>
    <row r="47" spans="2:32">
      <c r="B47" s="106" t="s">
        <v>620</v>
      </c>
      <c r="C47" s="107">
        <v>962907</v>
      </c>
      <c r="D47" s="107" t="s">
        <v>745</v>
      </c>
      <c r="E47" s="106" t="s">
        <v>744</v>
      </c>
      <c r="F47" s="103">
        <f>SUMIF('2 stopień 20_21'!G$9:G$761,"HGT.03.",'2 stopień 20_21'!I$9:I$761)</f>
        <v>13</v>
      </c>
      <c r="G47" s="104">
        <f>SUMIFS('2 stopień 20_21'!$I$9:$I$761,'2 stopień 20_21'!$G$9:$G$761,"HGT.03.",'2 stopień 20_21'!$K$9:$K$761,"CKZ Bielawa")</f>
        <v>0</v>
      </c>
      <c r="H47" s="104">
        <f>SUMIFS('2 stopień 20_21'!$I$9:$I$761,'2 stopień 20_21'!$G$9:$G$761,"HGT.03.",'2 stopień 20_21'!$K$9:$K$761,"GCKZ Głogów")</f>
        <v>0</v>
      </c>
      <c r="I47" s="104">
        <f>SUMIFS('2 stopień 20_21'!$I$9:$I$761,'2 stopień 20_21'!$G$9:$G$761,"HGT.03.",'2 stopień 20_21'!$K$9:$K$761,"CKZ Jawor")</f>
        <v>0</v>
      </c>
      <c r="J47" s="104">
        <f>SUMIFS('2 stopień 20_21'!$I$9:$I$761,'2 stopień 20_21'!$G$9:$G$761,"HGT.03.",'2 stopień 20_21'!$K$9:$K$761,"JCKZ Jelenia Góra")</f>
        <v>0</v>
      </c>
      <c r="K47" s="104">
        <f>SUMIFS('2 stopień 20_21'!$I$9:$I$761,'2 stopień 20_21'!$G$9:$G$761,"HGT.03.",'2 stopień 20_21'!$K$9:$K$761,"CKZ Kłodzko")</f>
        <v>13</v>
      </c>
      <c r="L47" s="104">
        <f>SUMIFS('2 stopień 20_21'!$I$9:$I$761,'2 stopień 20_21'!$G$9:$G$761,"HGT.03.",'2 stopień 20_21'!$K$9:$K$761,"CKZ Legnica")</f>
        <v>0</v>
      </c>
      <c r="M47" s="104">
        <f>SUMIFS('2 stopień 20_21'!$I$9:$I$761,'2 stopień 20_21'!$G$9:$G$761,"HGT.03.",'2 stopień 20_21'!$K$9:$K$761,"CKZ Oleśnica")</f>
        <v>0</v>
      </c>
      <c r="N47" s="104">
        <f>SUMIFS('2 stopień 20_21'!$I$9:$I$761,'2 stopień 20_21'!$G$9:$G$761,"HGT.03.",'2 stopień 20_21'!$K$9:$K$761,"CKZ Świdnica")</f>
        <v>0</v>
      </c>
      <c r="O47" s="104">
        <f>SUMIFS('2 stopień 20_21'!$I$9:$I$761,'2 stopień 20_21'!$G$9:$G$761,"HGT.03.",'2 stopień 20_21'!$K$9:$K$761,"CKZ Wołów")</f>
        <v>0</v>
      </c>
      <c r="P47" s="104">
        <f>SUMIFS('2 stopień 20_21'!$I$9:$I$761,'2 stopień 20_21'!$G$9:$G$761,"HGT.03.",'2 stopień 20_21'!$K$9:$K$761,"CKZ Ziębice")</f>
        <v>0</v>
      </c>
      <c r="Q47" s="104">
        <f>SUMIFS('2 stopień 20_21'!$I$9:$I$761,'2 stopień 20_21'!$G$9:$G$761,"HGT.03.",'2 stopień 20_21'!$K$9:$K$761,"CKZ Dobrodzień")</f>
        <v>0</v>
      </c>
      <c r="R47" s="104">
        <f>SUMIFS('2 stopień 20_21'!$I$9:$I$761,'2 stopień 20_21'!$G$9:$G$761,"HGT.03.",'2 stopień 20_21'!$K$9:$K$761,"CKZ Głubczyce")</f>
        <v>0</v>
      </c>
      <c r="S47" s="104">
        <f>SUMIFS('2 stopień 20_21'!$I$9:$I$761,'2 stopień 20_21'!$G$9:$G$761,"HGT.03.",'2 stopień 20_21'!$K$9:$K$761,"CKZ Kędzierzyn Koźle")</f>
        <v>0</v>
      </c>
      <c r="T47" s="104">
        <f>SUMIFS('2 stopień 20_21'!$I$9:$I$761,'2 stopień 20_21'!$G$9:$G$761,"HGT.03.",'2 stopień 20_21'!$K$9:$K$761,"CKZ Kluczbork")</f>
        <v>0</v>
      </c>
      <c r="U47" s="104">
        <f>SUMIFS('2 stopień 20_21'!$I$9:$I$761,'2 stopień 20_21'!$G$9:$G$761,"HGT.03.",'2 stopień 20_21'!$K$9:$K$761,"CKZ Krotoszyn")</f>
        <v>0</v>
      </c>
      <c r="V47" s="104">
        <f>SUMIFS('2 stopień 20_21'!$I$9:$I$761,'2 stopień 20_21'!$G$9:$G$761,"HGT.03.",'2 stopień 20_21'!$K$9:$K$761,"CKZ Olkusz")</f>
        <v>0</v>
      </c>
      <c r="W47" s="104">
        <f>SUMIFS('2 stopień 20_21'!$I$9:$I$761,'2 stopień 20_21'!$G$9:$G$761,"HGT.03.",'2 stopień 20_21'!$K$9:$K$761,"CKZ Wschowa")</f>
        <v>0</v>
      </c>
      <c r="X47" s="104">
        <f>SUMIFS('2 stopień 20_21'!$I$9:$I$761,'2 stopień 20_21'!$G$9:$G$761,"HGT.03.",'2 stopień 20_21'!$K$9:$K$761,"CKZ Zielona Góra")</f>
        <v>0</v>
      </c>
      <c r="Y47" s="104">
        <f>SUMIFS('2 stopień 20_21'!$I$9:$I$761,'2 stopień 20_21'!$G$9:$G$761,"HGT.03.",'2 stopień 20_21'!$K$9:$K$761,"Rzemieślnicza Wałbrzych")</f>
        <v>0</v>
      </c>
      <c r="Z47" s="104">
        <f>SUMIFS('2 stopień 20_21'!$I$9:$I$761,'2 stopień 20_21'!$G$9:$G$761,"HGT.03.",'2 stopień 20_21'!$K$9:$K$761,"CKZ Mosina")</f>
        <v>0</v>
      </c>
      <c r="AA47" s="104">
        <f>SUMIFS('2 stopień 20_21'!$I$9:$I$761,'2 stopień 20_21'!$G$9:$G$761,"HGT.03.",'2 stopień 20_21'!$K$9:$K$761,"CKZ Słupsk")</f>
        <v>0</v>
      </c>
      <c r="AB47" s="104">
        <f>SUMIFS('2 stopień 20_21'!$I$9:$I$761,'2 stopień 20_21'!$G$9:$G$761,"HGT.03.",'2 stopień 20_21'!$K$9:$K$761,"CKZ Opole")</f>
        <v>0</v>
      </c>
      <c r="AC47" s="104">
        <f>SUMIFS('2 stopień 20_21'!$I$9:$I$761,'2 stopień 20_21'!$G$9:$G$761,"HGT.03.",'2 stopień 20_21'!$K$9:$K$761,"CKZ Wrocław")</f>
        <v>0</v>
      </c>
      <c r="AD47" s="104">
        <f>SUMIFS('2 stopień 20_21'!$I$9:$I$761,'2 stopień 20_21'!$G$9:$G$761,"HGT.03.",'2 stopień 20_21'!$K$9:$K$761,"Brzeg Dolny")</f>
        <v>0</v>
      </c>
      <c r="AE47" s="104">
        <f>SUMIFS('2 stopień 20_21'!$I$9:$I$761,'2 stopień 20_21'!$G$9:$G$761,"HGT.03.",'2 stopień 20_21'!$K$9:$K$761,"")</f>
        <v>0</v>
      </c>
      <c r="AF47" s="105">
        <f t="shared" si="0"/>
        <v>13</v>
      </c>
    </row>
    <row r="48" spans="2:32">
      <c r="B48" s="106" t="s">
        <v>621</v>
      </c>
      <c r="C48" s="107">
        <v>941203</v>
      </c>
      <c r="D48" s="107" t="s">
        <v>747</v>
      </c>
      <c r="E48" s="106" t="s">
        <v>746</v>
      </c>
      <c r="F48" s="103">
        <f>SUMIF('2 stopień 20_21'!G$9:G$761,"HGT.04.",'2 stopień 20_21'!I$9:I$761)</f>
        <v>0</v>
      </c>
      <c r="G48" s="104">
        <f>SUMIFS('2 stopień 20_21'!$I$9:$I$761,'2 stopień 20_21'!$G$9:$G$761,"HGT.04.",'2 stopień 20_21'!$K$9:$K$761,"CKZ Bielawa")</f>
        <v>0</v>
      </c>
      <c r="H48" s="104">
        <f>SUMIFS('2 stopień 20_21'!$I$9:$I$761,'2 stopień 20_21'!$G$9:$G$761,"HGT.04.",'2 stopień 20_21'!$K$9:$K$761,"GCKZ Głogów")</f>
        <v>0</v>
      </c>
      <c r="I48" s="104">
        <f>SUMIFS('2 stopień 20_21'!$I$9:$I$761,'2 stopień 20_21'!$G$9:$G$761,"HGT.04.",'2 stopień 20_21'!$K$9:$K$761,"CKZ Jawor")</f>
        <v>0</v>
      </c>
      <c r="J48" s="104">
        <f>SUMIFS('2 stopień 20_21'!$I$9:$I$761,'2 stopień 20_21'!$G$9:$G$761,"HGT.04.",'2 stopień 20_21'!$K$9:$K$761,"JCKZ Jelenia Góra")</f>
        <v>0</v>
      </c>
      <c r="K48" s="104">
        <f>SUMIFS('2 stopień 20_21'!$I$9:$I$761,'2 stopień 20_21'!$G$9:$G$761,"HGT.04.",'2 stopień 20_21'!$K$9:$K$761,"CKZ Kłodzko")</f>
        <v>0</v>
      </c>
      <c r="L48" s="104">
        <f>SUMIFS('2 stopień 20_21'!$I$9:$I$761,'2 stopień 20_21'!$G$9:$G$761,"HGT.04.",'2 stopień 20_21'!$K$9:$K$761,"CKZ Legnica")</f>
        <v>0</v>
      </c>
      <c r="M48" s="104">
        <f>SUMIFS('2 stopień 20_21'!$I$9:$I$761,'2 stopień 20_21'!$G$9:$G$761,"HGT.04.",'2 stopień 20_21'!$K$9:$K$761,"CKZ Oleśnica")</f>
        <v>0</v>
      </c>
      <c r="N48" s="104">
        <f>SUMIFS('2 stopień 20_21'!$I$9:$I$761,'2 stopień 20_21'!$G$9:$G$761,"HGT.04.",'2 stopień 20_21'!$K$9:$K$761,"CKZ Świdnica")</f>
        <v>0</v>
      </c>
      <c r="O48" s="104">
        <f>SUMIFS('2 stopień 20_21'!$I$9:$I$761,'2 stopień 20_21'!$G$9:$G$761,"HGT.04.",'2 stopień 20_21'!$K$9:$K$761,"CKZ Wołów")</f>
        <v>0</v>
      </c>
      <c r="P48" s="104">
        <f>SUMIFS('2 stopień 20_21'!$I$9:$I$761,'2 stopień 20_21'!$G$9:$G$761,"HGT.04.",'2 stopień 20_21'!$K$9:$K$761,"CKZ Ziębice")</f>
        <v>0</v>
      </c>
      <c r="Q48" s="104">
        <f>SUMIFS('2 stopień 20_21'!$I$9:$I$761,'2 stopień 20_21'!$G$9:$G$761,"HGT.04.",'2 stopień 20_21'!$K$9:$K$761,"CKZ Dobrodzień")</f>
        <v>0</v>
      </c>
      <c r="R48" s="104">
        <f>SUMIFS('2 stopień 20_21'!$I$9:$I$761,'2 stopień 20_21'!$G$9:$G$761,"HGT.04.",'2 stopień 20_21'!$K$9:$K$761,"CKZ Głubczyce")</f>
        <v>0</v>
      </c>
      <c r="S48" s="104">
        <f>SUMIFS('2 stopień 20_21'!$I$9:$I$761,'2 stopień 20_21'!$G$9:$G$761,"HGT.04.",'2 stopień 20_21'!$K$9:$K$761,"CKZ Kędzierzyn Koźle")</f>
        <v>0</v>
      </c>
      <c r="T48" s="104">
        <f>SUMIFS('2 stopień 20_21'!$I$9:$I$761,'2 stopień 20_21'!$G$9:$G$761,"HGT.04.",'2 stopień 20_21'!$K$9:$K$761,"CKZ Kluczbork")</f>
        <v>0</v>
      </c>
      <c r="U48" s="104">
        <f>SUMIFS('2 stopień 20_21'!$I$9:$I$761,'2 stopień 20_21'!$G$9:$G$761,"HGT.04.",'2 stopień 20_21'!$K$9:$K$761,"CKZ Krotoszyn")</f>
        <v>0</v>
      </c>
      <c r="V48" s="104">
        <f>SUMIFS('2 stopień 20_21'!$I$9:$I$761,'2 stopień 20_21'!$G$9:$G$761,"HGT.04.",'2 stopień 20_21'!$K$9:$K$761,"CKZ Olkusz")</f>
        <v>0</v>
      </c>
      <c r="W48" s="104">
        <f>SUMIFS('2 stopień 20_21'!$I$9:$I$761,'2 stopień 20_21'!$G$9:$G$761,"HGT.04.",'2 stopień 20_21'!$K$9:$K$761,"CKZ Wschowa")</f>
        <v>0</v>
      </c>
      <c r="X48" s="104">
        <f>SUMIFS('2 stopień 20_21'!$I$9:$I$761,'2 stopień 20_21'!$G$9:$G$761,"HGT.04.",'2 stopień 20_21'!$K$9:$K$761,"CKZ Zielona Góra")</f>
        <v>0</v>
      </c>
      <c r="Y48" s="104">
        <f>SUMIFS('2 stopień 20_21'!$I$9:$I$761,'2 stopień 20_21'!$G$9:$G$761,"HGT.04.",'2 stopień 20_21'!$K$9:$K$761,"Rzemieślnicza Wałbrzych")</f>
        <v>0</v>
      </c>
      <c r="Z48" s="104">
        <f>SUMIFS('2 stopień 20_21'!$I$9:$I$761,'2 stopień 20_21'!$G$9:$G$761,"HGT.04.",'2 stopień 20_21'!$K$9:$K$761,"CKZ Mosina")</f>
        <v>0</v>
      </c>
      <c r="AA48" s="104">
        <f>SUMIFS('2 stopień 20_21'!$I$9:$I$761,'2 stopień 20_21'!$G$9:$G$761,"HGT.04.",'2 stopień 20_21'!$K$9:$K$761,"CKZ Słupsk")</f>
        <v>0</v>
      </c>
      <c r="AB48" s="104">
        <f>SUMIFS('2 stopień 20_21'!$I$9:$I$761,'2 stopień 20_21'!$G$9:$G$761,"HGT.04.",'2 stopień 20_21'!$K$9:$K$761,"CKZ Opole")</f>
        <v>0</v>
      </c>
      <c r="AC48" s="104">
        <f>SUMIFS('2 stopień 20_21'!$I$9:$I$761,'2 stopień 20_21'!$G$9:$G$761,"HGT.04.",'2 stopień 20_21'!$K$9:$K$761,"CKZ Wrocław")</f>
        <v>0</v>
      </c>
      <c r="AD48" s="104">
        <f>SUMIFS('2 stopień 20_21'!$I$9:$I$761,'2 stopień 20_21'!$G$9:$G$761,"HGT.04.",'2 stopień 20_21'!$K$9:$K$761,"Brzeg Dolny")</f>
        <v>0</v>
      </c>
      <c r="AE48" s="104">
        <f>SUMIFS('2 stopień 20_21'!$I$9:$I$761,'2 stopień 20_21'!$G$9:$G$761,"HGT.04.",'2 stopień 20_21'!$K$9:$K$761,"")</f>
        <v>0</v>
      </c>
      <c r="AF48" s="105">
        <f t="shared" si="0"/>
        <v>0</v>
      </c>
    </row>
    <row r="49" spans="2:32">
      <c r="B49" s="106" t="s">
        <v>245</v>
      </c>
      <c r="C49" s="107">
        <v>911205</v>
      </c>
      <c r="D49" s="107" t="s">
        <v>749</v>
      </c>
      <c r="E49" s="106" t="s">
        <v>748</v>
      </c>
      <c r="F49" s="103">
        <f>SUMIF('2 stopień 20_21'!G$9:G$761,"HGT.05.",'2 stopień 20_21'!I$9:I$761)</f>
        <v>1</v>
      </c>
      <c r="G49" s="104">
        <f>SUMIFS('2 stopień 20_21'!$I$9:$I$761,'2 stopień 20_21'!$G$9:$G$761,"HGT.05.",'2 stopień 20_21'!$K$9:$K$761,"CKZ Bielawa")</f>
        <v>0</v>
      </c>
      <c r="H49" s="104">
        <f>SUMIFS('2 stopień 20_21'!$I$9:$I$761,'2 stopień 20_21'!$G$9:$G$761,"HGT.05.",'2 stopień 20_21'!$K$9:$K$761,"GCKZ Głogów")</f>
        <v>0</v>
      </c>
      <c r="I49" s="104">
        <f>SUMIFS('2 stopień 20_21'!$I$9:$I$761,'2 stopień 20_21'!$G$9:$G$761,"HGT.05.",'2 stopień 20_21'!$K$9:$K$761,"CKZ Jawor")</f>
        <v>0</v>
      </c>
      <c r="J49" s="104">
        <f>SUMIFS('2 stopień 20_21'!$I$9:$I$761,'2 stopień 20_21'!$G$9:$G$761,"HGT.05.",'2 stopień 20_21'!$K$9:$K$761,"JCKZ Jelenia Góra")</f>
        <v>0</v>
      </c>
      <c r="K49" s="104">
        <f>SUMIFS('2 stopień 20_21'!$I$9:$I$761,'2 stopień 20_21'!$G$9:$G$761,"HGT.05.",'2 stopień 20_21'!$K$9:$K$761,"CKZ Kłodzko")</f>
        <v>0</v>
      </c>
      <c r="L49" s="104">
        <f>SUMIFS('2 stopień 20_21'!$I$9:$I$761,'2 stopień 20_21'!$G$9:$G$761,"HGT.05.",'2 stopień 20_21'!$K$9:$K$761,"CKZ Legnica")</f>
        <v>0</v>
      </c>
      <c r="M49" s="104">
        <f>SUMIFS('2 stopień 20_21'!$I$9:$I$761,'2 stopień 20_21'!$G$9:$G$761,"HGT.05.",'2 stopień 20_21'!$K$9:$K$761,"CKZ Oleśnica")</f>
        <v>0</v>
      </c>
      <c r="N49" s="104">
        <f>SUMIFS('2 stopień 20_21'!$I$9:$I$761,'2 stopień 20_21'!$G$9:$G$761,"HGT.05.",'2 stopień 20_21'!$K$9:$K$761,"CKZ Świdnica")</f>
        <v>0</v>
      </c>
      <c r="O49" s="104">
        <f>SUMIFS('2 stopień 20_21'!$I$9:$I$761,'2 stopień 20_21'!$G$9:$G$761,"HGT.05.",'2 stopień 20_21'!$K$9:$K$761,"CKZ Wołów")</f>
        <v>0</v>
      </c>
      <c r="P49" s="104">
        <f>SUMIFS('2 stopień 20_21'!$I$9:$I$761,'2 stopień 20_21'!$G$9:$G$761,"HGT.05.",'2 stopień 20_21'!$K$9:$K$761,"CKZ Ziębice")</f>
        <v>0</v>
      </c>
      <c r="Q49" s="104">
        <f>SUMIFS('2 stopień 20_21'!$I$9:$I$761,'2 stopień 20_21'!$G$9:$G$761,"HGT.05.",'2 stopień 20_21'!$K$9:$K$761,"CKZ Dobrodzień")</f>
        <v>0</v>
      </c>
      <c r="R49" s="104">
        <f>SUMIFS('2 stopień 20_21'!$I$9:$I$761,'2 stopień 20_21'!$G$9:$G$761,"HGT.05.",'2 stopień 20_21'!$K$9:$K$761,"CKZ Głubczyce")</f>
        <v>0</v>
      </c>
      <c r="S49" s="104">
        <f>SUMIFS('2 stopień 20_21'!$I$9:$I$761,'2 stopień 20_21'!$G$9:$G$761,"HGT.05.",'2 stopień 20_21'!$K$9:$K$761,"CKZ Kędzierzyn Koźle")</f>
        <v>0</v>
      </c>
      <c r="T49" s="104">
        <f>SUMIFS('2 stopień 20_21'!$I$9:$I$761,'2 stopień 20_21'!$G$9:$G$761,"HGT.05.",'2 stopień 20_21'!$K$9:$K$761,"CKZ Kluczbork")</f>
        <v>0</v>
      </c>
      <c r="U49" s="104">
        <f>SUMIFS('2 stopień 20_21'!$I$9:$I$761,'2 stopień 20_21'!$G$9:$G$761,"HGT.05.",'2 stopień 20_21'!$K$9:$K$761,"CKZ Krotoszyn")</f>
        <v>0</v>
      </c>
      <c r="V49" s="104">
        <f>SUMIFS('2 stopień 20_21'!$I$9:$I$761,'2 stopień 20_21'!$G$9:$G$761,"HGT.05.",'2 stopień 20_21'!$K$9:$K$761,"CKZ Olkusz")</f>
        <v>0</v>
      </c>
      <c r="W49" s="104">
        <f>SUMIFS('2 stopień 20_21'!$I$9:$I$761,'2 stopień 20_21'!$G$9:$G$761,"HGT.05.",'2 stopień 20_21'!$K$9:$K$761,"CKZ Wschowa")</f>
        <v>0</v>
      </c>
      <c r="X49" s="104">
        <f>SUMIFS('2 stopień 20_21'!$I$9:$I$761,'2 stopień 20_21'!$G$9:$G$761,"HGT.05.",'2 stopień 20_21'!$K$9:$K$761,"CKZ Zielona Góra")</f>
        <v>1</v>
      </c>
      <c r="Y49" s="104">
        <f>SUMIFS('2 stopień 20_21'!$I$9:$I$761,'2 stopień 20_21'!$G$9:$G$761,"HGT.05.",'2 stopień 20_21'!$K$9:$K$761,"Rzemieślnicza Wałbrzych")</f>
        <v>0</v>
      </c>
      <c r="Z49" s="104">
        <f>SUMIFS('2 stopień 20_21'!$I$9:$I$761,'2 stopień 20_21'!$G$9:$G$761,"HGT.05.",'2 stopień 20_21'!$K$9:$K$761,"CKZ Mosina")</f>
        <v>0</v>
      </c>
      <c r="AA49" s="104">
        <f>SUMIFS('2 stopień 20_21'!$I$9:$I$761,'2 stopień 20_21'!$G$9:$G$761,"HGT.05.",'2 stopień 20_21'!$K$9:$K$761,"CKZ Słupsk")</f>
        <v>0</v>
      </c>
      <c r="AB49" s="104">
        <f>SUMIFS('2 stopień 20_21'!$I$9:$I$761,'2 stopień 20_21'!$G$9:$G$761,"HGT.05.",'2 stopień 20_21'!$K$9:$K$761,"CKZ Opole")</f>
        <v>0</v>
      </c>
      <c r="AC49" s="104">
        <f>SUMIFS('2 stopień 20_21'!$I$9:$I$761,'2 stopień 20_21'!$G$9:$G$761,"HGT.05.",'2 stopień 20_21'!$K$9:$K$761,"CKZ Wrocław")</f>
        <v>0</v>
      </c>
      <c r="AD49" s="104">
        <f>SUMIFS('2 stopień 20_21'!$I$9:$I$761,'2 stopień 20_21'!$G$9:$G$761,"HGT.05.",'2 stopień 20_21'!$K$9:$K$761,"Brzeg Dolny")</f>
        <v>0</v>
      </c>
      <c r="AE49" s="104">
        <f>SUMIFS('2 stopień 20_21'!$I$9:$I$761,'2 stopień 20_21'!$G$9:$G$761,"HGT.05.",'2 stopień 20_21'!$K$9:$K$761,"")</f>
        <v>0</v>
      </c>
      <c r="AF49" s="105">
        <f t="shared" si="0"/>
        <v>1</v>
      </c>
    </row>
    <row r="50" spans="2:32">
      <c r="B50" s="106" t="s">
        <v>622</v>
      </c>
      <c r="C50" s="107">
        <v>834105</v>
      </c>
      <c r="D50" s="107" t="s">
        <v>751</v>
      </c>
      <c r="E50" s="106" t="s">
        <v>750</v>
      </c>
      <c r="F50" s="103">
        <f>SUMIF('2 stopień 20_21'!G$9:G$761,"LES.01.",'2 stopień 20_21'!I$9:I$761)</f>
        <v>0</v>
      </c>
      <c r="G50" s="104">
        <f>SUMIFS('2 stopień 20_21'!$I$9:$I$761,'2 stopień 20_21'!$G$9:$G$761,"LES.01.",'2 stopień 20_21'!$K$9:$K$761,"CKZ Bielawa")</f>
        <v>0</v>
      </c>
      <c r="H50" s="104">
        <f>SUMIFS('2 stopień 20_21'!$I$9:$I$761,'2 stopień 20_21'!$G$9:$G$761,"LES.01.",'2 stopień 20_21'!$K$9:$K$761,"GCKZ Głogów")</f>
        <v>0</v>
      </c>
      <c r="I50" s="104">
        <f>SUMIFS('2 stopień 20_21'!$I$9:$I$761,'2 stopień 20_21'!$G$9:$G$761,"LES.01.",'2 stopień 20_21'!$K$9:$K$761,"CKZ Jawor")</f>
        <v>0</v>
      </c>
      <c r="J50" s="104">
        <f>SUMIFS('2 stopień 20_21'!$I$9:$I$761,'2 stopień 20_21'!$G$9:$G$761,"LES.01.",'2 stopień 20_21'!$K$9:$K$761,"JCKZ Jelenia Góra")</f>
        <v>0</v>
      </c>
      <c r="K50" s="104">
        <f>SUMIFS('2 stopień 20_21'!$I$9:$I$761,'2 stopień 20_21'!$G$9:$G$761,"LES.01.",'2 stopień 20_21'!$K$9:$K$761,"CKZ Kłodzko")</f>
        <v>0</v>
      </c>
      <c r="L50" s="104">
        <f>SUMIFS('2 stopień 20_21'!$I$9:$I$761,'2 stopień 20_21'!$G$9:$G$761,"LES.01.",'2 stopień 20_21'!$K$9:$K$761,"CKZ Legnica")</f>
        <v>0</v>
      </c>
      <c r="M50" s="104">
        <f>SUMIFS('2 stopień 20_21'!$I$9:$I$761,'2 stopień 20_21'!$G$9:$G$761,"LES.01.",'2 stopień 20_21'!$K$9:$K$761,"CKZ Oleśnica")</f>
        <v>0</v>
      </c>
      <c r="N50" s="104">
        <f>SUMIFS('2 stopień 20_21'!$I$9:$I$761,'2 stopień 20_21'!$G$9:$G$761,"LES.01.",'2 stopień 20_21'!$K$9:$K$761,"CKZ Świdnica")</f>
        <v>0</v>
      </c>
      <c r="O50" s="104">
        <f>SUMIFS('2 stopień 20_21'!$I$9:$I$761,'2 stopień 20_21'!$G$9:$G$761,"LES.01.",'2 stopień 20_21'!$K$9:$K$761,"CKZ Wołów")</f>
        <v>0</v>
      </c>
      <c r="P50" s="104">
        <f>SUMIFS('2 stopień 20_21'!$I$9:$I$761,'2 stopień 20_21'!$G$9:$G$761,"LES.01.",'2 stopień 20_21'!$K$9:$K$761,"CKZ Ziębice")</f>
        <v>0</v>
      </c>
      <c r="Q50" s="104">
        <f>SUMIFS('2 stopień 20_21'!$I$9:$I$761,'2 stopień 20_21'!$G$9:$G$761,"LES.01.",'2 stopień 20_21'!$K$9:$K$761,"CKZ Dobrodzień")</f>
        <v>0</v>
      </c>
      <c r="R50" s="104">
        <f>SUMIFS('2 stopień 20_21'!$I$9:$I$761,'2 stopień 20_21'!$G$9:$G$761,"LES.01.",'2 stopień 20_21'!$K$9:$K$761,"CKZ Głubczyce")</f>
        <v>0</v>
      </c>
      <c r="S50" s="104">
        <f>SUMIFS('2 stopień 20_21'!$I$9:$I$761,'2 stopień 20_21'!$G$9:$G$761,"LES.01.",'2 stopień 20_21'!$K$9:$K$761,"CKZ Kędzierzyn Koźle")</f>
        <v>0</v>
      </c>
      <c r="T50" s="104">
        <f>SUMIFS('2 stopień 20_21'!$I$9:$I$761,'2 stopień 20_21'!$G$9:$G$761,"LES.01.",'2 stopień 20_21'!$K$9:$K$761,"CKZ Kluczbork")</f>
        <v>0</v>
      </c>
      <c r="U50" s="104">
        <f>SUMIFS('2 stopień 20_21'!$I$9:$I$761,'2 stopień 20_21'!$G$9:$G$761,"LES.01.",'2 stopień 20_21'!$K$9:$K$761,"CKZ Krotoszyn")</f>
        <v>0</v>
      </c>
      <c r="V50" s="104">
        <f>SUMIFS('2 stopień 20_21'!$I$9:$I$761,'2 stopień 20_21'!$G$9:$G$761,"LES.01.",'2 stopień 20_21'!$K$9:$K$761,"CKZ Olkusz")</f>
        <v>0</v>
      </c>
      <c r="W50" s="104">
        <f>SUMIFS('2 stopień 20_21'!$I$9:$I$761,'2 stopień 20_21'!$G$9:$G$761,"LES.01.",'2 stopień 20_21'!$K$9:$K$761,"CKZ Wschowa")</f>
        <v>0</v>
      </c>
      <c r="X50" s="104">
        <f>SUMIFS('2 stopień 20_21'!$I$9:$I$761,'2 stopień 20_21'!$G$9:$G$761,"LES.01.",'2 stopień 20_21'!$K$9:$K$761,"CKZ Zielona Góra")</f>
        <v>0</v>
      </c>
      <c r="Y50" s="104">
        <f>SUMIFS('2 stopień 20_21'!$I$9:$I$761,'2 stopień 20_21'!$G$9:$G$761,"LES.01.",'2 stopień 20_21'!$K$9:$K$761,"Rzemieślnicza Wałbrzych")</f>
        <v>0</v>
      </c>
      <c r="Z50" s="104">
        <f>SUMIFS('2 stopień 20_21'!$I$9:$I$761,'2 stopień 20_21'!$G$9:$G$761,"LES.01.",'2 stopień 20_21'!$K$9:$K$761,"CKZ Mosina")</f>
        <v>0</v>
      </c>
      <c r="AA50" s="104">
        <f>SUMIFS('2 stopień 20_21'!$I$9:$I$761,'2 stopień 20_21'!$G$9:$G$761,"LES.01.",'2 stopień 20_21'!$K$9:$K$761,"CKZ Słupsk")</f>
        <v>0</v>
      </c>
      <c r="AB50" s="104">
        <f>SUMIFS('2 stopień 20_21'!$I$9:$I$761,'2 stopień 20_21'!$G$9:$G$761,"LES.01.",'2 stopień 20_21'!$K$9:$K$761,"CKZ Opole")</f>
        <v>0</v>
      </c>
      <c r="AC50" s="104">
        <f>SUMIFS('2 stopień 20_21'!$I$9:$I$761,'2 stopień 20_21'!$G$9:$G$761,"LES.01.",'2 stopień 20_21'!$K$9:$K$761,"CKZ Wrocław")</f>
        <v>0</v>
      </c>
      <c r="AD50" s="104">
        <f>SUMIFS('2 stopień 20_21'!$I$9:$I$761,'2 stopień 20_21'!$G$9:$G$761,"LES.01.",'2 stopień 20_21'!$K$9:$K$761,"Brzeg Dolny")</f>
        <v>0</v>
      </c>
      <c r="AE50" s="104">
        <f>SUMIFS('2 stopień 20_21'!$I$9:$I$761,'2 stopień 20_21'!$G$9:$G$761,"LES.01.",'2 stopień 20_21'!$K$9:$K$761,"")</f>
        <v>0</v>
      </c>
      <c r="AF50" s="105">
        <f t="shared" si="0"/>
        <v>0</v>
      </c>
    </row>
    <row r="51" spans="2:32">
      <c r="B51" s="106" t="s">
        <v>248</v>
      </c>
      <c r="C51" s="107">
        <v>721301</v>
      </c>
      <c r="D51" s="107" t="s">
        <v>753</v>
      </c>
      <c r="E51" s="106" t="s">
        <v>752</v>
      </c>
      <c r="F51" s="103">
        <f>SUMIF('2 stopień 20_21'!G$9:G$761,"MEC.01.",'2 stopień 20_21'!I$9:I$761)</f>
        <v>3</v>
      </c>
      <c r="G51" s="104">
        <f>SUMIFS('2 stopień 20_21'!$I$9:$I$761,'2 stopień 20_21'!$G$9:$G$761,"MEC.01.",'2 stopień 20_21'!$K$9:$K$761,"CKZ Bielawa")</f>
        <v>0</v>
      </c>
      <c r="H51" s="104">
        <f>SUMIFS('2 stopień 20_21'!$I$9:$I$761,'2 stopień 20_21'!$G$9:$G$761,"MEC.01.",'2 stopień 20_21'!$K$9:$K$761,"GCKZ Głogów")</f>
        <v>0</v>
      </c>
      <c r="I51" s="104">
        <f>SUMIFS('2 stopień 20_21'!$I$9:$I$761,'2 stopień 20_21'!$G$9:$G$761,"MEC.01.",'2 stopień 20_21'!$K$9:$K$761,"CKZ Jawor")</f>
        <v>0</v>
      </c>
      <c r="J51" s="104">
        <f>SUMIFS('2 stopień 20_21'!$I$9:$I$761,'2 stopień 20_21'!$G$9:$G$761,"MEC.01.",'2 stopień 20_21'!$K$9:$K$761,"JCKZ Jelenia Góra")</f>
        <v>0</v>
      </c>
      <c r="K51" s="104">
        <f>SUMIFS('2 stopień 20_21'!$I$9:$I$761,'2 stopień 20_21'!$G$9:$G$761,"MEC.01.",'2 stopień 20_21'!$K$9:$K$761,"CKZ Kłodzko")</f>
        <v>0</v>
      </c>
      <c r="L51" s="104">
        <f>SUMIFS('2 stopień 20_21'!$I$9:$I$761,'2 stopień 20_21'!$G$9:$G$761,"MEC.01.",'2 stopień 20_21'!$K$9:$K$761,"CKZ Legnica")</f>
        <v>0</v>
      </c>
      <c r="M51" s="104">
        <f>SUMIFS('2 stopień 20_21'!$I$9:$I$761,'2 stopień 20_21'!$G$9:$G$761,"MEC.01.",'2 stopień 20_21'!$K$9:$K$761,"CKZ Oleśnica")</f>
        <v>0</v>
      </c>
      <c r="N51" s="104">
        <f>SUMIFS('2 stopień 20_21'!$I$9:$I$761,'2 stopień 20_21'!$G$9:$G$761,"MEC.01.",'2 stopień 20_21'!$K$9:$K$761,"CKZ Świdnica")</f>
        <v>0</v>
      </c>
      <c r="O51" s="104">
        <f>SUMIFS('2 stopień 20_21'!$I$9:$I$761,'2 stopień 20_21'!$G$9:$G$761,"MEC.01.",'2 stopień 20_21'!$K$9:$K$761,"CKZ Wołów")</f>
        <v>0</v>
      </c>
      <c r="P51" s="104">
        <f>SUMIFS('2 stopień 20_21'!$I$9:$I$761,'2 stopień 20_21'!$G$9:$G$761,"MEC.01.",'2 stopień 20_21'!$K$9:$K$761,"CKZ Ziębice")</f>
        <v>0</v>
      </c>
      <c r="Q51" s="104">
        <f>SUMIFS('2 stopień 20_21'!$I$9:$I$761,'2 stopień 20_21'!$G$9:$G$761,"MEC.01.",'2 stopień 20_21'!$K$9:$K$761,"CKZ Dobrodzień")</f>
        <v>0</v>
      </c>
      <c r="R51" s="104">
        <f>SUMIFS('2 stopień 20_21'!$I$9:$I$761,'2 stopień 20_21'!$G$9:$G$761,"MEC.01.",'2 stopień 20_21'!$K$9:$K$761,"CKZ Głubczyce")</f>
        <v>0</v>
      </c>
      <c r="S51" s="104">
        <f>SUMIFS('2 stopień 20_21'!$I$9:$I$761,'2 stopień 20_21'!$G$9:$G$761,"MEC.01.",'2 stopień 20_21'!$K$9:$K$761,"CKZ Kędzierzyn Koźle")</f>
        <v>0</v>
      </c>
      <c r="T51" s="104">
        <f>SUMIFS('2 stopień 20_21'!$I$9:$I$761,'2 stopień 20_21'!$G$9:$G$761,"MEC.01.",'2 stopień 20_21'!$K$9:$K$761,"CKZ Kluczbork")</f>
        <v>0</v>
      </c>
      <c r="U51" s="104">
        <f>SUMIFS('2 stopień 20_21'!$I$9:$I$761,'2 stopień 20_21'!$G$9:$G$761,"MEC.01.",'2 stopień 20_21'!$K$9:$K$761,"CKZ Krotoszyn")</f>
        <v>0</v>
      </c>
      <c r="V51" s="104">
        <f>SUMIFS('2 stopień 20_21'!$I$9:$I$761,'2 stopień 20_21'!$G$9:$G$761,"MEC.01.",'2 stopień 20_21'!$K$9:$K$761,"CKZ Olkusz")</f>
        <v>0</v>
      </c>
      <c r="W51" s="104">
        <f>SUMIFS('2 stopień 20_21'!$I$9:$I$761,'2 stopień 20_21'!$G$9:$G$761,"MEC.01.",'2 stopień 20_21'!$K$9:$K$761,"CKZ Wschowa")</f>
        <v>3</v>
      </c>
      <c r="X51" s="104">
        <f>SUMIFS('2 stopień 20_21'!$I$9:$I$761,'2 stopień 20_21'!$G$9:$G$761,"MEC.01.",'2 stopień 20_21'!$K$9:$K$761,"CKZ Zielona Góra")</f>
        <v>0</v>
      </c>
      <c r="Y51" s="104">
        <f>SUMIFS('2 stopień 20_21'!$I$9:$I$761,'2 stopień 20_21'!$G$9:$G$761,"MEC.01.",'2 stopień 20_21'!$K$9:$K$761,"Rzemieślnicza Wałbrzych")</f>
        <v>0</v>
      </c>
      <c r="Z51" s="104">
        <f>SUMIFS('2 stopień 20_21'!$I$9:$I$761,'2 stopień 20_21'!$G$9:$G$761,"MEC.01.",'2 stopień 20_21'!$K$9:$K$761,"CKZ Mosina")</f>
        <v>0</v>
      </c>
      <c r="AA51" s="104">
        <f>SUMIFS('2 stopień 20_21'!$I$9:$I$761,'2 stopień 20_21'!$G$9:$G$761,"MEC.01.",'2 stopień 20_21'!$K$9:$K$761,"CKZ Słupsk")</f>
        <v>0</v>
      </c>
      <c r="AB51" s="104">
        <f>SUMIFS('2 stopień 20_21'!$I$9:$I$761,'2 stopień 20_21'!$G$9:$G$761,"MEC.01.",'2 stopień 20_21'!$K$9:$K$761,"CKZ Opole")</f>
        <v>0</v>
      </c>
      <c r="AC51" s="104">
        <f>SUMIFS('2 stopień 20_21'!$I$9:$I$761,'2 stopień 20_21'!$G$9:$G$761,"MEC.01.",'2 stopień 20_21'!$K$9:$K$761,"CKZ Wrocław")</f>
        <v>0</v>
      </c>
      <c r="AD51" s="104">
        <f>SUMIFS('2 stopień 20_21'!$I$9:$I$761,'2 stopień 20_21'!$G$9:$G$761,"MEC.01.",'2 stopień 20_21'!$K$9:$K$761,"Brzeg Dolny")</f>
        <v>0</v>
      </c>
      <c r="AE51" s="104">
        <f>SUMIFS('2 stopień 20_21'!$I$9:$I$761,'2 stopień 20_21'!$G$9:$G$761,"MEC.01.",'2 stopień 20_21'!$K$9:$K$761,"")</f>
        <v>0</v>
      </c>
      <c r="AF51" s="105">
        <f t="shared" si="0"/>
        <v>3</v>
      </c>
    </row>
    <row r="52" spans="2:32">
      <c r="B52" s="106" t="s">
        <v>623</v>
      </c>
      <c r="C52" s="107">
        <v>722101</v>
      </c>
      <c r="D52" s="107" t="s">
        <v>755</v>
      </c>
      <c r="E52" s="106" t="s">
        <v>754</v>
      </c>
      <c r="F52" s="103">
        <f>SUMIF('2 stopień 20_21'!G$9:G$761,"MEC.02.",'2 stopień 20_21'!I$9:I$761)</f>
        <v>0</v>
      </c>
      <c r="G52" s="104">
        <f>SUMIFS('2 stopień 20_21'!$I$9:$I$761,'2 stopień 20_21'!$G$9:$G$761,"MEC.02.",'2 stopień 20_21'!$K$9:$K$761,"CKZ Bielawa")</f>
        <v>0</v>
      </c>
      <c r="H52" s="104">
        <f>SUMIFS('2 stopień 20_21'!$I$9:$I$761,'2 stopień 20_21'!$G$9:$G$761,"MEC.02.",'2 stopień 20_21'!$K$9:$K$761,"GCKZ Głogów")</f>
        <v>0</v>
      </c>
      <c r="I52" s="104">
        <f>SUMIFS('2 stopień 20_21'!$I$9:$I$761,'2 stopień 20_21'!$G$9:$G$761,"MEC.02.",'2 stopień 20_21'!$K$9:$K$761,"CKZ Jawor")</f>
        <v>0</v>
      </c>
      <c r="J52" s="104">
        <f>SUMIFS('2 stopień 20_21'!$I$9:$I$761,'2 stopień 20_21'!$G$9:$G$761,"MEC.02.",'2 stopień 20_21'!$K$9:$K$761,"JCKZ Jelenia Góra")</f>
        <v>0</v>
      </c>
      <c r="K52" s="104">
        <f>SUMIFS('2 stopień 20_21'!$I$9:$I$761,'2 stopień 20_21'!$G$9:$G$761,"MEC.02.",'2 stopień 20_21'!$K$9:$K$761,"CKZ Kłodzko")</f>
        <v>0</v>
      </c>
      <c r="L52" s="104">
        <f>SUMIFS('2 stopień 20_21'!$I$9:$I$761,'2 stopień 20_21'!$G$9:$G$761,"MEC.02.",'2 stopień 20_21'!$K$9:$K$761,"CKZ Legnica")</f>
        <v>0</v>
      </c>
      <c r="M52" s="104">
        <f>SUMIFS('2 stopień 20_21'!$I$9:$I$761,'2 stopień 20_21'!$G$9:$G$761,"MEC.02.",'2 stopień 20_21'!$K$9:$K$761,"CKZ Oleśnica")</f>
        <v>0</v>
      </c>
      <c r="N52" s="104">
        <f>SUMIFS('2 stopień 20_21'!$I$9:$I$761,'2 stopień 20_21'!$G$9:$G$761,"MEC.02.",'2 stopień 20_21'!$K$9:$K$761,"CKZ Świdnica")</f>
        <v>0</v>
      </c>
      <c r="O52" s="104">
        <f>SUMIFS('2 stopień 20_21'!$I$9:$I$761,'2 stopień 20_21'!$G$9:$G$761,"MEC.02.",'2 stopień 20_21'!$K$9:$K$761,"CKZ Wołów")</f>
        <v>0</v>
      </c>
      <c r="P52" s="104">
        <f>SUMIFS('2 stopień 20_21'!$I$9:$I$761,'2 stopień 20_21'!$G$9:$G$761,"MEC.02.",'2 stopień 20_21'!$K$9:$K$761,"CKZ Ziębice")</f>
        <v>0</v>
      </c>
      <c r="Q52" s="104">
        <f>SUMIFS('2 stopień 20_21'!$I$9:$I$761,'2 stopień 20_21'!$G$9:$G$761,"MEC.02.",'2 stopień 20_21'!$K$9:$K$761,"CKZ Dobrodzień")</f>
        <v>0</v>
      </c>
      <c r="R52" s="104">
        <f>SUMIFS('2 stopień 20_21'!$I$9:$I$761,'2 stopień 20_21'!$G$9:$G$761,"MEC.02.",'2 stopień 20_21'!$K$9:$K$761,"CKZ Głubczyce")</f>
        <v>0</v>
      </c>
      <c r="S52" s="104">
        <f>SUMIFS('2 stopień 20_21'!$I$9:$I$761,'2 stopień 20_21'!$G$9:$G$761,"MEC.02.",'2 stopień 20_21'!$K$9:$K$761,"CKZ Kędzierzyn Koźle")</f>
        <v>0</v>
      </c>
      <c r="T52" s="104">
        <f>SUMIFS('2 stopień 20_21'!$I$9:$I$761,'2 stopień 20_21'!$G$9:$G$761,"MEC.02.",'2 stopień 20_21'!$K$9:$K$761,"CKZ Kluczbork")</f>
        <v>0</v>
      </c>
      <c r="U52" s="104">
        <f>SUMIFS('2 stopień 20_21'!$I$9:$I$761,'2 stopień 20_21'!$G$9:$G$761,"MEC.02.",'2 stopień 20_21'!$K$9:$K$761,"CKZ Krotoszyn")</f>
        <v>0</v>
      </c>
      <c r="V52" s="104">
        <f>SUMIFS('2 stopień 20_21'!$I$9:$I$761,'2 stopień 20_21'!$G$9:$G$761,"MEC.02.",'2 stopień 20_21'!$K$9:$K$761,"CKZ Olkusz")</f>
        <v>0</v>
      </c>
      <c r="W52" s="104">
        <f>SUMIFS('2 stopień 20_21'!$I$9:$I$761,'2 stopień 20_21'!$G$9:$G$761,"MEC.02.",'2 stopień 20_21'!$K$9:$K$761,"CKZ Wschowa")</f>
        <v>0</v>
      </c>
      <c r="X52" s="104">
        <f>SUMIFS('2 stopień 20_21'!$I$9:$I$761,'2 stopień 20_21'!$G$9:$G$761,"MEC.02.",'2 stopień 20_21'!$K$9:$K$761,"CKZ Zielona Góra")</f>
        <v>0</v>
      </c>
      <c r="Y52" s="104">
        <f>SUMIFS('2 stopień 20_21'!$I$9:$I$761,'2 stopień 20_21'!$G$9:$G$761,"MEC.02.",'2 stopień 20_21'!$K$9:$K$761,"Rzemieślnicza Wałbrzych")</f>
        <v>0</v>
      </c>
      <c r="Z52" s="104">
        <f>SUMIFS('2 stopień 20_21'!$I$9:$I$761,'2 stopień 20_21'!$G$9:$G$761,"MEC.02.",'2 stopień 20_21'!$K$9:$K$761,"CKZ Mosina")</f>
        <v>0</v>
      </c>
      <c r="AA52" s="104">
        <f>SUMIFS('2 stopień 20_21'!$I$9:$I$761,'2 stopień 20_21'!$G$9:$G$761,"MEC.02.",'2 stopień 20_21'!$K$9:$K$761,"CKZ Słupsk")</f>
        <v>0</v>
      </c>
      <c r="AB52" s="104">
        <f>SUMIFS('2 stopień 20_21'!$I$9:$I$761,'2 stopień 20_21'!$G$9:$G$761,"MEC.02.",'2 stopień 20_21'!$K$9:$K$761,"CKZ Opole")</f>
        <v>0</v>
      </c>
      <c r="AC52" s="104">
        <f>SUMIFS('2 stopień 20_21'!$I$9:$I$761,'2 stopień 20_21'!$G$9:$G$761,"MEC.02.",'2 stopień 20_21'!$K$9:$K$761,"CKZ Wrocław")</f>
        <v>0</v>
      </c>
      <c r="AD52" s="104">
        <f>SUMIFS('2 stopień 20_21'!$I$9:$I$761,'2 stopień 20_21'!$G$9:$G$761,"MEC.02.",'2 stopień 20_21'!$K$9:$K$761,"Brzeg Dolny")</f>
        <v>0</v>
      </c>
      <c r="AE52" s="104">
        <f>SUMIFS('2 stopień 20_21'!$I$9:$I$761,'2 stopień 20_21'!$G$9:$G$761,"MEC.02.",'2 stopień 20_21'!$K$9:$K$761,"")</f>
        <v>0</v>
      </c>
      <c r="AF52" s="105">
        <f t="shared" si="0"/>
        <v>0</v>
      </c>
    </row>
    <row r="53" spans="2:32" ht="15.75" customHeight="1">
      <c r="B53" s="106" t="s">
        <v>624</v>
      </c>
      <c r="C53" s="107">
        <v>723310</v>
      </c>
      <c r="D53" s="107" t="s">
        <v>757</v>
      </c>
      <c r="E53" s="106" t="s">
        <v>756</v>
      </c>
      <c r="F53" s="103">
        <f>SUMIF('2 stopień 20_21'!G$9:G$761,"MEC.03.",'2 stopień 20_21'!I$9:I$761)</f>
        <v>13</v>
      </c>
      <c r="G53" s="104">
        <f>SUMIFS('2 stopień 20_21'!$I$9:$I$761,'2 stopień 20_21'!$G$9:$G$761,"MEC.03.",'2 stopień 20_21'!$K$9:$K$761,"CKZ Bielawa")</f>
        <v>0</v>
      </c>
      <c r="H53" s="104">
        <f>SUMIFS('2 stopień 20_21'!$I$9:$I$761,'2 stopień 20_21'!$G$9:$G$761,"MEC.03.",'2 stopień 20_21'!$K$9:$K$761,"GCKZ Głogów")</f>
        <v>0</v>
      </c>
      <c r="I53" s="104">
        <f>SUMIFS('2 stopień 20_21'!$I$9:$I$761,'2 stopień 20_21'!$G$9:$G$761,"MEC.03.",'2 stopień 20_21'!$K$9:$K$761,"CKZ Jawor")</f>
        <v>0</v>
      </c>
      <c r="J53" s="104">
        <f>SUMIFS('2 stopień 20_21'!$I$9:$I$761,'2 stopień 20_21'!$G$9:$G$761,"MEC.03.",'2 stopień 20_21'!$K$9:$K$761,"JCKZ Jelenia Góra")</f>
        <v>0</v>
      </c>
      <c r="K53" s="104">
        <f>SUMIFS('2 stopień 20_21'!$I$9:$I$761,'2 stopień 20_21'!$G$9:$G$761,"MEC.03.",'2 stopień 20_21'!$K$9:$K$761,"CKZ Kłodzko")</f>
        <v>0</v>
      </c>
      <c r="L53" s="104">
        <f>SUMIFS('2 stopień 20_21'!$I$9:$I$761,'2 stopień 20_21'!$G$9:$G$761,"MEC.03.",'2 stopień 20_21'!$K$9:$K$761,"CKZ Legnica")</f>
        <v>0</v>
      </c>
      <c r="M53" s="104">
        <f>SUMIFS('2 stopień 20_21'!$I$9:$I$761,'2 stopień 20_21'!$G$9:$G$761,"MEC.03.",'2 stopień 20_21'!$K$9:$K$761,"CKZ Oleśnica")</f>
        <v>7</v>
      </c>
      <c r="N53" s="104">
        <f>SUMIFS('2 stopień 20_21'!$I$9:$I$761,'2 stopień 20_21'!$G$9:$G$761,"MEC.03.",'2 stopień 20_21'!$K$9:$K$761,"CKZ Świdnica")</f>
        <v>0</v>
      </c>
      <c r="O53" s="104">
        <f>SUMIFS('2 stopień 20_21'!$I$9:$I$761,'2 stopień 20_21'!$G$9:$G$761,"MEC.03.",'2 stopień 20_21'!$K$9:$K$761,"CKZ Wołów")</f>
        <v>0</v>
      </c>
      <c r="P53" s="104">
        <f>SUMIFS('2 stopień 20_21'!$I$9:$I$761,'2 stopień 20_21'!$G$9:$G$761,"MEC.03.",'2 stopień 20_21'!$K$9:$K$761,"CKZ Ziębice")</f>
        <v>0</v>
      </c>
      <c r="Q53" s="104">
        <f>SUMIFS('2 stopień 20_21'!$I$9:$I$761,'2 stopień 20_21'!$G$9:$G$761,"MEC.03.",'2 stopień 20_21'!$K$9:$K$761,"CKZ Dobrodzień")</f>
        <v>0</v>
      </c>
      <c r="R53" s="104">
        <f>SUMIFS('2 stopień 20_21'!$I$9:$I$761,'2 stopień 20_21'!$G$9:$G$761,"MEC.03.",'2 stopień 20_21'!$K$9:$K$761,"CKZ Głubczyce")</f>
        <v>0</v>
      </c>
      <c r="S53" s="104">
        <f>SUMIFS('2 stopień 20_21'!$I$9:$I$761,'2 stopień 20_21'!$G$9:$G$761,"MEC.03.",'2 stopień 20_21'!$K$9:$K$761,"CKZ Kędzierzyn Koźle")</f>
        <v>0</v>
      </c>
      <c r="T53" s="104">
        <f>SUMIFS('2 stopień 20_21'!$I$9:$I$761,'2 stopień 20_21'!$G$9:$G$761,"MEC.03.",'2 stopień 20_21'!$K$9:$K$761,"CKZ Kluczbork")</f>
        <v>0</v>
      </c>
      <c r="U53" s="104">
        <f>SUMIFS('2 stopień 20_21'!$I$9:$I$761,'2 stopień 20_21'!$G$9:$G$761,"MEC.03.",'2 stopień 20_21'!$K$9:$K$761,"CKZ Krotoszyn")</f>
        <v>0</v>
      </c>
      <c r="V53" s="104">
        <f>SUMIFS('2 stopień 20_21'!$I$9:$I$761,'2 stopień 20_21'!$G$9:$G$761,"MEC.03.",'2 stopień 20_21'!$K$9:$K$761,"CKZ Olkusz")</f>
        <v>0</v>
      </c>
      <c r="W53" s="104">
        <f>SUMIFS('2 stopień 20_21'!$I$9:$I$761,'2 stopień 20_21'!$G$9:$G$761,"MEC.03.",'2 stopień 20_21'!$K$9:$K$761,"CKZ Wschowa")</f>
        <v>1</v>
      </c>
      <c r="X53" s="104">
        <f>SUMIFS('2 stopień 20_21'!$I$9:$I$761,'2 stopień 20_21'!$G$9:$G$761,"MEC.03.",'2 stopień 20_21'!$K$9:$K$761,"CKZ Zielona Góra")</f>
        <v>5</v>
      </c>
      <c r="Y53" s="104">
        <f>SUMIFS('2 stopień 20_21'!$I$9:$I$761,'2 stopień 20_21'!$G$9:$G$761,"MEC.03.",'2 stopień 20_21'!$K$9:$K$761,"Rzemieślnicza Wałbrzych")</f>
        <v>0</v>
      </c>
      <c r="Z53" s="104">
        <f>SUMIFS('2 stopień 20_21'!$I$9:$I$761,'2 stopień 20_21'!$G$9:$G$761,"MEC.03.",'2 stopień 20_21'!$K$9:$K$761,"CKZ Mosina")</f>
        <v>0</v>
      </c>
      <c r="AA53" s="104">
        <f>SUMIFS('2 stopień 20_21'!$I$9:$I$761,'2 stopień 20_21'!$G$9:$G$761,"MEC.03.",'2 stopień 20_21'!$K$9:$K$761,"CKZ Słupsk")</f>
        <v>0</v>
      </c>
      <c r="AB53" s="104">
        <f>SUMIFS('2 stopień 20_21'!$I$9:$I$761,'2 stopień 20_21'!$G$9:$G$761,"MEC.03.",'2 stopień 20_21'!$K$9:$K$761,"CKZ Opole")</f>
        <v>0</v>
      </c>
      <c r="AC53" s="104">
        <f>SUMIFS('2 stopień 20_21'!$I$9:$I$761,'2 stopień 20_21'!$G$9:$G$761,"MEC.03.",'2 stopień 20_21'!$K$9:$K$761,"CKZ Wrocław")</f>
        <v>0</v>
      </c>
      <c r="AD53" s="104">
        <f>SUMIFS('2 stopień 20_21'!$I$9:$I$761,'2 stopień 20_21'!$G$9:$G$761,"MEC.03.",'2 stopień 20_21'!$K$9:$K$761,"Brzeg Dolny")</f>
        <v>0</v>
      </c>
      <c r="AE53" s="104">
        <f>SUMIFS('2 stopień 20_21'!$I$9:$I$761,'2 stopień 20_21'!$G$9:$G$761,"MEC.03.",'2 stopień 20_21'!$K$9:$K$761,"")</f>
        <v>0</v>
      </c>
      <c r="AF53" s="105">
        <f t="shared" si="0"/>
        <v>13</v>
      </c>
    </row>
    <row r="54" spans="2:32">
      <c r="B54" s="106" t="s">
        <v>625</v>
      </c>
      <c r="C54" s="107">
        <v>712613</v>
      </c>
      <c r="D54" s="107" t="s">
        <v>759</v>
      </c>
      <c r="E54" s="106" t="s">
        <v>758</v>
      </c>
      <c r="F54" s="103">
        <f>SUMIF('2 stopień 20_21'!G$9:G$761,"MEC.04.",'2 stopień 20_21'!I$9:I$761)</f>
        <v>0</v>
      </c>
      <c r="G54" s="104">
        <f>SUMIFS('2 stopień 20_21'!$I$9:$I$761,'2 stopień 20_21'!$G$9:$G$761,"MEC.04.",'2 stopień 20_21'!$K$9:$K$761,"CKZ Bielawa")</f>
        <v>0</v>
      </c>
      <c r="H54" s="104">
        <f>SUMIFS('2 stopień 20_21'!$I$9:$I$761,'2 stopień 20_21'!$G$9:$G$761,"MEC.04.",'2 stopień 20_21'!$K$9:$K$761,"GCKZ Głogów")</f>
        <v>0</v>
      </c>
      <c r="I54" s="104">
        <f>SUMIFS('2 stopień 20_21'!$I$9:$I$761,'2 stopień 20_21'!$G$9:$G$761,"MEC.04.",'2 stopień 20_21'!$K$9:$K$761,"CKZ Jawor")</f>
        <v>0</v>
      </c>
      <c r="J54" s="104">
        <f>SUMIFS('2 stopień 20_21'!$I$9:$I$761,'2 stopień 20_21'!$G$9:$G$761,"MEC.04.",'2 stopień 20_21'!$K$9:$K$761,"JCKZ Jelenia Góra")</f>
        <v>0</v>
      </c>
      <c r="K54" s="104">
        <f>SUMIFS('2 stopień 20_21'!$I$9:$I$761,'2 stopień 20_21'!$G$9:$G$761,"MEC.04.",'2 stopień 20_21'!$K$9:$K$761,"CKZ Kłodzko")</f>
        <v>0</v>
      </c>
      <c r="L54" s="104">
        <f>SUMIFS('2 stopień 20_21'!$I$9:$I$761,'2 stopień 20_21'!$G$9:$G$761,"MEC.04.",'2 stopień 20_21'!$K$9:$K$761,"CKZ Legnica")</f>
        <v>0</v>
      </c>
      <c r="M54" s="104">
        <f>SUMIFS('2 stopień 20_21'!$I$9:$I$761,'2 stopień 20_21'!$G$9:$G$761,"MEC.04.",'2 stopień 20_21'!$K$9:$K$761,"CKZ Oleśnica")</f>
        <v>0</v>
      </c>
      <c r="N54" s="104">
        <f>SUMIFS('2 stopień 20_21'!$I$9:$I$761,'2 stopień 20_21'!$G$9:$G$761,"MEC.04.",'2 stopień 20_21'!$K$9:$K$761,"CKZ Świdnica")</f>
        <v>0</v>
      </c>
      <c r="O54" s="104">
        <f>SUMIFS('2 stopień 20_21'!$I$9:$I$761,'2 stopień 20_21'!$G$9:$G$761,"MEC.04.",'2 stopień 20_21'!$K$9:$K$761,"CKZ Wołów")</f>
        <v>0</v>
      </c>
      <c r="P54" s="104">
        <f>SUMIFS('2 stopień 20_21'!$I$9:$I$761,'2 stopień 20_21'!$G$9:$G$761,"MEC.04.",'2 stopień 20_21'!$K$9:$K$761,"CKZ Ziębice")</f>
        <v>0</v>
      </c>
      <c r="Q54" s="104">
        <f>SUMIFS('2 stopień 20_21'!$I$9:$I$761,'2 stopień 20_21'!$G$9:$G$761,"MEC.04.",'2 stopień 20_21'!$K$9:$K$761,"CKZ Dobrodzień")</f>
        <v>0</v>
      </c>
      <c r="R54" s="104">
        <f>SUMIFS('2 stopień 20_21'!$I$9:$I$761,'2 stopień 20_21'!$G$9:$G$761,"MEC.04.",'2 stopień 20_21'!$K$9:$K$761,"CKZ Głubczyce")</f>
        <v>0</v>
      </c>
      <c r="S54" s="104">
        <f>SUMIFS('2 stopień 20_21'!$I$9:$I$761,'2 stopień 20_21'!$G$9:$G$761,"MEC.04.",'2 stopień 20_21'!$K$9:$K$761,"CKZ Kędzierzyn Koźle")</f>
        <v>0</v>
      </c>
      <c r="T54" s="104">
        <f>SUMIFS('2 stopień 20_21'!$I$9:$I$761,'2 stopień 20_21'!$G$9:$G$761,"MEC.04.",'2 stopień 20_21'!$K$9:$K$761,"CKZ Kluczbork")</f>
        <v>0</v>
      </c>
      <c r="U54" s="104">
        <f>SUMIFS('2 stopień 20_21'!$I$9:$I$761,'2 stopień 20_21'!$G$9:$G$761,"MEC.04.",'2 stopień 20_21'!$K$9:$K$761,"CKZ Krotoszyn")</f>
        <v>0</v>
      </c>
      <c r="V54" s="104">
        <f>SUMIFS('2 stopień 20_21'!$I$9:$I$761,'2 stopień 20_21'!$G$9:$G$761,"MEC.04.",'2 stopień 20_21'!$K$9:$K$761,"CKZ Olkusz")</f>
        <v>0</v>
      </c>
      <c r="W54" s="104">
        <f>SUMIFS('2 stopień 20_21'!$I$9:$I$761,'2 stopień 20_21'!$G$9:$G$761,"MEC.04.",'2 stopień 20_21'!$K$9:$K$761,"CKZ Wschowa")</f>
        <v>0</v>
      </c>
      <c r="X54" s="104">
        <f>SUMIFS('2 stopień 20_21'!$I$9:$I$761,'2 stopień 20_21'!$G$9:$G$761,"MEC.04.",'2 stopień 20_21'!$K$9:$K$761,"CKZ Zielona Góra")</f>
        <v>0</v>
      </c>
      <c r="Y54" s="104">
        <f>SUMIFS('2 stopień 20_21'!$I$9:$I$761,'2 stopień 20_21'!$G$9:$G$761,"MEC.04.",'2 stopień 20_21'!$K$9:$K$761,"Rzemieślnicza Wałbrzych")</f>
        <v>0</v>
      </c>
      <c r="Z54" s="104">
        <f>SUMIFS('2 stopień 20_21'!$I$9:$I$761,'2 stopień 20_21'!$G$9:$G$761,"MEC.04.",'2 stopień 20_21'!$K$9:$K$761,"CKZ Mosina")</f>
        <v>0</v>
      </c>
      <c r="AA54" s="104">
        <f>SUMIFS('2 stopień 20_21'!$I$9:$I$761,'2 stopień 20_21'!$G$9:$G$761,"MEC.04.",'2 stopień 20_21'!$K$9:$K$761,"CKZ Słupsk")</f>
        <v>0</v>
      </c>
      <c r="AB54" s="104">
        <f>SUMIFS('2 stopień 20_21'!$I$9:$I$761,'2 stopień 20_21'!$G$9:$G$761,"MEC.04.",'2 stopień 20_21'!$K$9:$K$761,"CKZ Opole")</f>
        <v>0</v>
      </c>
      <c r="AC54" s="104">
        <f>SUMIFS('2 stopień 20_21'!$I$9:$I$761,'2 stopień 20_21'!$G$9:$G$761,"MEC.04.",'2 stopień 20_21'!$K$9:$K$761,"CKZ Wrocław")</f>
        <v>0</v>
      </c>
      <c r="AD54" s="104">
        <f>SUMIFS('2 stopień 20_21'!$I$9:$I$761,'2 stopień 20_21'!$G$9:$G$761,"MEC.04.",'2 stopień 20_21'!$K$9:$K$761,"Brzeg Dolny")</f>
        <v>0</v>
      </c>
      <c r="AE54" s="104">
        <f>SUMIFS('2 stopień 20_21'!$I$9:$I$761,'2 stopień 20_21'!$G$9:$G$761,"MEC.04.",'2 stopień 20_21'!$K$9:$K$761,"")</f>
        <v>0</v>
      </c>
      <c r="AF54" s="105">
        <f t="shared" si="0"/>
        <v>0</v>
      </c>
    </row>
    <row r="55" spans="2:32">
      <c r="B55" s="106" t="s">
        <v>82</v>
      </c>
      <c r="C55" s="107">
        <v>722307</v>
      </c>
      <c r="D55" s="107" t="s">
        <v>83</v>
      </c>
      <c r="E55" s="106" t="s">
        <v>760</v>
      </c>
      <c r="F55" s="103">
        <f>SUMIF('2 stopień 20_21'!G$9:G$761,"MEC.05.",'2 stopień 20_21'!I$9:I$761)</f>
        <v>104</v>
      </c>
      <c r="G55" s="104">
        <f>SUMIFS('2 stopień 20_21'!$I$9:$I$761,'2 stopień 20_21'!$G$9:$G$761,"MEC.05.",'2 stopień 20_21'!$K$9:$K$761,"CKZ Bielawa")</f>
        <v>0</v>
      </c>
      <c r="H55" s="104">
        <f>SUMIFS('2 stopień 20_21'!$I$9:$I$761,'2 stopień 20_21'!$G$9:$G$761,"MEC.05.",'2 stopień 20_21'!$K$9:$K$761,"GCKZ Głogów")</f>
        <v>0</v>
      </c>
      <c r="I55" s="104">
        <f>SUMIFS('2 stopień 20_21'!$I$9:$I$761,'2 stopień 20_21'!$G$9:$G$761,"MEC.05.",'2 stopień 20_21'!$K$9:$K$761,"CKZ Jawor")</f>
        <v>0</v>
      </c>
      <c r="J55" s="104">
        <f>SUMIFS('2 stopień 20_21'!$I$9:$I$761,'2 stopień 20_21'!$G$9:$G$761,"MEC.05.",'2 stopień 20_21'!$K$9:$K$761,"JCKZ Jelenia Góra")</f>
        <v>31</v>
      </c>
      <c r="K55" s="104">
        <f>SUMIFS('2 stopień 20_21'!$I$9:$I$761,'2 stopień 20_21'!$G$9:$G$761,"MEC.05.",'2 stopień 20_21'!$K$9:$K$761,"CKZ Kłodzko")</f>
        <v>0</v>
      </c>
      <c r="L55" s="104">
        <f>SUMIFS('2 stopień 20_21'!$I$9:$I$761,'2 stopień 20_21'!$G$9:$G$761,"MEC.05.",'2 stopień 20_21'!$K$9:$K$761,"CKZ Legnica")</f>
        <v>0</v>
      </c>
      <c r="M55" s="104">
        <f>SUMIFS('2 stopień 20_21'!$I$9:$I$761,'2 stopień 20_21'!$G$9:$G$761,"MEC.05.",'2 stopień 20_21'!$K$9:$K$761,"CKZ Oleśnica")</f>
        <v>21</v>
      </c>
      <c r="N55" s="104">
        <f>SUMIFS('2 stopień 20_21'!$I$9:$I$761,'2 stopień 20_21'!$G$9:$G$761,"MEC.05.",'2 stopień 20_21'!$K$9:$K$761,"CKZ Świdnica")</f>
        <v>52</v>
      </c>
      <c r="O55" s="104">
        <f>SUMIFS('2 stopień 20_21'!$I$9:$I$761,'2 stopień 20_21'!$G$9:$G$761,"MEC.05.",'2 stopień 20_21'!$K$9:$K$761,"CKZ Wołów")</f>
        <v>0</v>
      </c>
      <c r="P55" s="104">
        <f>SUMIFS('2 stopień 20_21'!$I$9:$I$761,'2 stopień 20_21'!$G$9:$G$761,"MEC.05.",'2 stopień 20_21'!$K$9:$K$761,"CKZ Ziębice")</f>
        <v>0</v>
      </c>
      <c r="Q55" s="104">
        <f>SUMIFS('2 stopień 20_21'!$I$9:$I$761,'2 stopień 20_21'!$G$9:$G$761,"MEC.05.",'2 stopień 20_21'!$K$9:$K$761,"CKZ Dobrodzień")</f>
        <v>0</v>
      </c>
      <c r="R55" s="104">
        <f>SUMIFS('2 stopień 20_21'!$I$9:$I$761,'2 stopień 20_21'!$G$9:$G$761,"MEC.05.",'2 stopień 20_21'!$K$9:$K$761,"CKZ Głubczyce")</f>
        <v>0</v>
      </c>
      <c r="S55" s="104">
        <f>SUMIFS('2 stopień 20_21'!$I$9:$I$761,'2 stopień 20_21'!$G$9:$G$761,"MEC.05.",'2 stopień 20_21'!$K$9:$K$761,"CKZ Kędzierzyn Koźle")</f>
        <v>0</v>
      </c>
      <c r="T55" s="104">
        <f>SUMIFS('2 stopień 20_21'!$I$9:$I$761,'2 stopień 20_21'!$G$9:$G$761,"MEC.05.",'2 stopień 20_21'!$K$9:$K$761,"CKZ Kluczbork")</f>
        <v>0</v>
      </c>
      <c r="U55" s="104">
        <f>SUMIFS('2 stopień 20_21'!$I$9:$I$761,'2 stopień 20_21'!$G$9:$G$761,"MEC.05.",'2 stopień 20_21'!$K$9:$K$761,"CKZ Krotoszyn")</f>
        <v>0</v>
      </c>
      <c r="V55" s="104">
        <f>SUMIFS('2 stopień 20_21'!$I$9:$I$761,'2 stopień 20_21'!$G$9:$G$761,"MEC.05.",'2 stopień 20_21'!$K$9:$K$761,"CKZ Olkusz")</f>
        <v>0</v>
      </c>
      <c r="W55" s="104">
        <f>SUMIFS('2 stopień 20_21'!$I$9:$I$761,'2 stopień 20_21'!$G$9:$G$761,"MEC.05.",'2 stopień 20_21'!$K$9:$K$761,"CKZ Wschowa")</f>
        <v>0</v>
      </c>
      <c r="X55" s="104">
        <f>SUMIFS('2 stopień 20_21'!$I$9:$I$761,'2 stopień 20_21'!$G$9:$G$761,"MEC.05.",'2 stopień 20_21'!$K$9:$K$761,"CKZ Zielona Góra")</f>
        <v>0</v>
      </c>
      <c r="Y55" s="104">
        <f>SUMIFS('2 stopień 20_21'!$I$9:$I$761,'2 stopień 20_21'!$G$9:$G$761,"MEC.05.",'2 stopień 20_21'!$K$9:$K$761,"Rzemieślnicza Wałbrzych")</f>
        <v>0</v>
      </c>
      <c r="Z55" s="104">
        <f>SUMIFS('2 stopień 20_21'!$I$9:$I$761,'2 stopień 20_21'!$G$9:$G$761,"MEC.05.",'2 stopień 20_21'!$K$9:$K$761,"CKZ Mosina")</f>
        <v>0</v>
      </c>
      <c r="AA55" s="104">
        <f>SUMIFS('2 stopień 20_21'!$I$9:$I$761,'2 stopień 20_21'!$G$9:$G$761,"MEC.05.",'2 stopień 20_21'!$K$9:$K$761,"CKZ Słupsk")</f>
        <v>0</v>
      </c>
      <c r="AB55" s="104">
        <f>SUMIFS('2 stopień 20_21'!$I$9:$I$761,'2 stopień 20_21'!$G$9:$G$761,"MEC.05.",'2 stopień 20_21'!$K$9:$K$761,"CKZ Opole")</f>
        <v>0</v>
      </c>
      <c r="AC55" s="104">
        <f>SUMIFS('2 stopień 20_21'!$I$9:$I$761,'2 stopień 20_21'!$G$9:$G$761,"MEC.05.",'2 stopień 20_21'!$K$9:$K$761,"CKZ Wrocław")</f>
        <v>0</v>
      </c>
      <c r="AD55" s="104">
        <f>SUMIFS('2 stopień 20_21'!$I$9:$I$761,'2 stopień 20_21'!$G$9:$G$761,"MEC.05.",'2 stopień 20_21'!$K$9:$K$761,"Brzeg Dolny")</f>
        <v>0</v>
      </c>
      <c r="AE55" s="104">
        <f>SUMIFS('2 stopień 20_21'!$I$9:$I$761,'2 stopień 20_21'!$G$9:$G$761,"MEC.05.",'2 stopień 20_21'!$K$9:$K$761,"")</f>
        <v>0</v>
      </c>
      <c r="AF55" s="105">
        <f t="shared" si="0"/>
        <v>104</v>
      </c>
    </row>
    <row r="56" spans="2:32">
      <c r="B56" s="106" t="s">
        <v>626</v>
      </c>
      <c r="C56" s="107">
        <v>932916</v>
      </c>
      <c r="D56" s="107" t="s">
        <v>762</v>
      </c>
      <c r="E56" s="106" t="s">
        <v>761</v>
      </c>
      <c r="F56" s="103">
        <f>SUMIF('2 stopień 20_21'!G$9:G$761,"MEC.06.",'2 stopień 20_21'!I$9:I$761)</f>
        <v>0</v>
      </c>
      <c r="G56" s="104">
        <f>SUMIFS('2 stopień 20_21'!$I$9:$I$761,'2 stopień 20_21'!$G$9:$G$761,"MEC.06.",'2 stopień 20_21'!$K$9:$K$761,"CKZ Bielawa")</f>
        <v>0</v>
      </c>
      <c r="H56" s="104">
        <f>SUMIFS('2 stopień 20_21'!$I$9:$I$761,'2 stopień 20_21'!$G$9:$G$761,"MEC.06.",'2 stopień 20_21'!$K$9:$K$761,"GCKZ Głogów")</f>
        <v>0</v>
      </c>
      <c r="I56" s="104">
        <f>SUMIFS('2 stopień 20_21'!$I$9:$I$761,'2 stopień 20_21'!$G$9:$G$761,"MEC.06.",'2 stopień 20_21'!$K$9:$K$761,"CKZ Jawor")</f>
        <v>0</v>
      </c>
      <c r="J56" s="104">
        <f>SUMIFS('2 stopień 20_21'!$I$9:$I$761,'2 stopień 20_21'!$G$9:$G$761,"MEC.06.",'2 stopień 20_21'!$K$9:$K$761,"JCKZ Jelenia Góra")</f>
        <v>0</v>
      </c>
      <c r="K56" s="104">
        <f>SUMIFS('2 stopień 20_21'!$I$9:$I$761,'2 stopień 20_21'!$G$9:$G$761,"MEC.06.",'2 stopień 20_21'!$K$9:$K$761,"CKZ Kłodzko")</f>
        <v>0</v>
      </c>
      <c r="L56" s="104">
        <f>SUMIFS('2 stopień 20_21'!$I$9:$I$761,'2 stopień 20_21'!$G$9:$G$761,"MEC.06.",'2 stopień 20_21'!$K$9:$K$761,"CKZ Legnica")</f>
        <v>0</v>
      </c>
      <c r="M56" s="104">
        <f>SUMIFS('2 stopień 20_21'!$I$9:$I$761,'2 stopień 20_21'!$G$9:$G$761,"MEC.06.",'2 stopień 20_21'!$K$9:$K$761,"CKZ Oleśnica")</f>
        <v>0</v>
      </c>
      <c r="N56" s="104">
        <f>SUMIFS('2 stopień 20_21'!$I$9:$I$761,'2 stopień 20_21'!$G$9:$G$761,"MEC.06.",'2 stopień 20_21'!$K$9:$K$761,"CKZ Świdnica")</f>
        <v>0</v>
      </c>
      <c r="O56" s="104">
        <f>SUMIFS('2 stopień 20_21'!$I$9:$I$761,'2 stopień 20_21'!$G$9:$G$761,"MEC.06.",'2 stopień 20_21'!$K$9:$K$761,"CKZ Wołów")</f>
        <v>0</v>
      </c>
      <c r="P56" s="104">
        <f>SUMIFS('2 stopień 20_21'!$I$9:$I$761,'2 stopień 20_21'!$G$9:$G$761,"MEC.06.",'2 stopień 20_21'!$K$9:$K$761,"CKZ Ziębice")</f>
        <v>0</v>
      </c>
      <c r="Q56" s="104">
        <f>SUMIFS('2 stopień 20_21'!$I$9:$I$761,'2 stopień 20_21'!$G$9:$G$761,"MEC.06.",'2 stopień 20_21'!$K$9:$K$761,"CKZ Dobrodzień")</f>
        <v>0</v>
      </c>
      <c r="R56" s="104">
        <f>SUMIFS('2 stopień 20_21'!$I$9:$I$761,'2 stopień 20_21'!$G$9:$G$761,"MEC.06.",'2 stopień 20_21'!$K$9:$K$761,"CKZ Głubczyce")</f>
        <v>0</v>
      </c>
      <c r="S56" s="104">
        <f>SUMIFS('2 stopień 20_21'!$I$9:$I$761,'2 stopień 20_21'!$G$9:$G$761,"MEC.06.",'2 stopień 20_21'!$K$9:$K$761,"CKZ Kędzierzyn Koźle")</f>
        <v>0</v>
      </c>
      <c r="T56" s="104">
        <f>SUMIFS('2 stopień 20_21'!$I$9:$I$761,'2 stopień 20_21'!$G$9:$G$761,"MEC.06.",'2 stopień 20_21'!$K$9:$K$761,"CKZ Kluczbork")</f>
        <v>0</v>
      </c>
      <c r="U56" s="104">
        <f>SUMIFS('2 stopień 20_21'!$I$9:$I$761,'2 stopień 20_21'!$G$9:$G$761,"MEC.06.",'2 stopień 20_21'!$K$9:$K$761,"CKZ Krotoszyn")</f>
        <v>0</v>
      </c>
      <c r="V56" s="104">
        <f>SUMIFS('2 stopień 20_21'!$I$9:$I$761,'2 stopień 20_21'!$G$9:$G$761,"MEC.06.",'2 stopień 20_21'!$K$9:$K$761,"CKZ Olkusz")</f>
        <v>0</v>
      </c>
      <c r="W56" s="104">
        <f>SUMIFS('2 stopień 20_21'!$I$9:$I$761,'2 stopień 20_21'!$G$9:$G$761,"MEC.06.",'2 stopień 20_21'!$K$9:$K$761,"CKZ Wschowa")</f>
        <v>0</v>
      </c>
      <c r="X56" s="104">
        <f>SUMIFS('2 stopień 20_21'!$I$9:$I$761,'2 stopień 20_21'!$G$9:$G$761,"MEC.06.",'2 stopień 20_21'!$K$9:$K$761,"CKZ Zielona Góra")</f>
        <v>0</v>
      </c>
      <c r="Y56" s="104">
        <f>SUMIFS('2 stopień 20_21'!$I$9:$I$761,'2 stopień 20_21'!$G$9:$G$761,"MEC.06.",'2 stopień 20_21'!$K$9:$K$761,"Rzemieślnicza Wałbrzych")</f>
        <v>0</v>
      </c>
      <c r="Z56" s="104">
        <f>SUMIFS('2 stopień 20_21'!$I$9:$I$761,'2 stopień 20_21'!$G$9:$G$761,"MEC.06.",'2 stopień 20_21'!$K$9:$K$761,"CKZ Mosina")</f>
        <v>0</v>
      </c>
      <c r="AA56" s="104">
        <f>SUMIFS('2 stopień 20_21'!$I$9:$I$761,'2 stopień 20_21'!$G$9:$G$761,"MEC.06.",'2 stopień 20_21'!$K$9:$K$761,"CKZ Słupsk")</f>
        <v>0</v>
      </c>
      <c r="AB56" s="104">
        <f>SUMIFS('2 stopień 20_21'!$I$9:$I$761,'2 stopień 20_21'!$G$9:$G$761,"MEC.06.",'2 stopień 20_21'!$K$9:$K$761,"CKZ Opole")</f>
        <v>0</v>
      </c>
      <c r="AC56" s="104">
        <f>SUMIFS('2 stopień 20_21'!$I$9:$I$761,'2 stopień 20_21'!$G$9:$G$761,"MEC.06.",'2 stopień 20_21'!$K$9:$K$761,"CKZ Wrocław")</f>
        <v>0</v>
      </c>
      <c r="AD56" s="104">
        <f>SUMIFS('2 stopień 20_21'!$I$9:$I$761,'2 stopień 20_21'!$G$9:$G$761,"MEC.06.",'2 stopień 20_21'!$K$9:$K$761,"Brzeg Dolny")</f>
        <v>0</v>
      </c>
      <c r="AE56" s="104">
        <f>SUMIFS('2 stopień 20_21'!$I$9:$I$761,'2 stopień 20_21'!$G$9:$G$761,"MEC.06.",'2 stopień 20_21'!$K$9:$K$761,"")</f>
        <v>0</v>
      </c>
      <c r="AF56" s="105">
        <f t="shared" si="0"/>
        <v>0</v>
      </c>
    </row>
    <row r="57" spans="2:32" ht="16.5" customHeight="1">
      <c r="B57" s="106" t="s">
        <v>627</v>
      </c>
      <c r="C57" s="107">
        <v>932917</v>
      </c>
      <c r="D57" s="107" t="s">
        <v>764</v>
      </c>
      <c r="E57" s="106" t="s">
        <v>763</v>
      </c>
      <c r="F57" s="103">
        <f>SUMIF('2 stopień 20_21'!G$9:G$761,"MEC.07.",'2 stopień 20_21'!I$9:I$761)</f>
        <v>0</v>
      </c>
      <c r="G57" s="104">
        <f>SUMIFS('2 stopień 20_21'!$I$9:$I$761,'2 stopień 20_21'!$G$9:$G$761,"MEC.07.",'2 stopień 20_21'!$K$9:$K$761,"CKZ Bielawa")</f>
        <v>0</v>
      </c>
      <c r="H57" s="104">
        <f>SUMIFS('2 stopień 20_21'!$I$9:$I$761,'2 stopień 20_21'!$G$9:$G$761,"MEC.07.",'2 stopień 20_21'!$K$9:$K$761,"GCKZ Głogów")</f>
        <v>0</v>
      </c>
      <c r="I57" s="104">
        <f>SUMIFS('2 stopień 20_21'!$I$9:$I$761,'2 stopień 20_21'!$G$9:$G$761,"MEC.07.",'2 stopień 20_21'!$K$9:$K$761,"CKZ Jawor")</f>
        <v>0</v>
      </c>
      <c r="J57" s="104">
        <f>SUMIFS('2 stopień 20_21'!$I$9:$I$761,'2 stopień 20_21'!$G$9:$G$761,"MEC.07.",'2 stopień 20_21'!$K$9:$K$761,"JCKZ Jelenia Góra")</f>
        <v>0</v>
      </c>
      <c r="K57" s="104">
        <f>SUMIFS('2 stopień 20_21'!$I$9:$I$761,'2 stopień 20_21'!$G$9:$G$761,"MEC.07.",'2 stopień 20_21'!$K$9:$K$761,"CKZ Kłodzko")</f>
        <v>0</v>
      </c>
      <c r="L57" s="104">
        <f>SUMIFS('2 stopień 20_21'!$I$9:$I$761,'2 stopień 20_21'!$G$9:$G$761,"MEC.07.",'2 stopień 20_21'!$K$9:$K$761,"CKZ Legnica")</f>
        <v>0</v>
      </c>
      <c r="M57" s="104">
        <f>SUMIFS('2 stopień 20_21'!$I$9:$I$761,'2 stopień 20_21'!$G$9:$G$761,"MEC.07.",'2 stopień 20_21'!$K$9:$K$761,"CKZ Oleśnica")</f>
        <v>0</v>
      </c>
      <c r="N57" s="104">
        <f>SUMIFS('2 stopień 20_21'!$I$9:$I$761,'2 stopień 20_21'!$G$9:$G$761,"MEC.07.",'2 stopień 20_21'!$K$9:$K$761,"CKZ Świdnica")</f>
        <v>0</v>
      </c>
      <c r="O57" s="104">
        <f>SUMIFS('2 stopień 20_21'!$I$9:$I$761,'2 stopień 20_21'!$G$9:$G$761,"MEC.07.",'2 stopień 20_21'!$K$9:$K$761,"CKZ Wołów")</f>
        <v>0</v>
      </c>
      <c r="P57" s="104">
        <f>SUMIFS('2 stopień 20_21'!$I$9:$I$761,'2 stopień 20_21'!$G$9:$G$761,"MEC.07.",'2 stopień 20_21'!$K$9:$K$761,"CKZ Ziębice")</f>
        <v>0</v>
      </c>
      <c r="Q57" s="104">
        <f>SUMIFS('2 stopień 20_21'!$I$9:$I$761,'2 stopień 20_21'!$G$9:$G$761,"MEC.07.",'2 stopień 20_21'!$K$9:$K$761,"CKZ Dobrodzień")</f>
        <v>0</v>
      </c>
      <c r="R57" s="104">
        <f>SUMIFS('2 stopień 20_21'!$I$9:$I$761,'2 stopień 20_21'!$G$9:$G$761,"MEC.07.",'2 stopień 20_21'!$K$9:$K$761,"CKZ Głubczyce")</f>
        <v>0</v>
      </c>
      <c r="S57" s="104">
        <f>SUMIFS('2 stopień 20_21'!$I$9:$I$761,'2 stopień 20_21'!$G$9:$G$761,"MEC.07.",'2 stopień 20_21'!$K$9:$K$761,"CKZ Kędzierzyn Koźle")</f>
        <v>0</v>
      </c>
      <c r="T57" s="104">
        <f>SUMIFS('2 stopień 20_21'!$I$9:$I$761,'2 stopień 20_21'!$G$9:$G$761,"MEC.07.",'2 stopień 20_21'!$K$9:$K$761,"CKZ Kluczbork")</f>
        <v>0</v>
      </c>
      <c r="U57" s="104">
        <f>SUMIFS('2 stopień 20_21'!$I$9:$I$761,'2 stopień 20_21'!$G$9:$G$761,"MEC.07.",'2 stopień 20_21'!$K$9:$K$761,"CKZ Krotoszyn")</f>
        <v>0</v>
      </c>
      <c r="V57" s="104">
        <f>SUMIFS('2 stopień 20_21'!$I$9:$I$761,'2 stopień 20_21'!$G$9:$G$761,"MEC.07.",'2 stopień 20_21'!$K$9:$K$761,"CKZ Olkusz")</f>
        <v>0</v>
      </c>
      <c r="W57" s="104">
        <f>SUMIFS('2 stopień 20_21'!$I$9:$I$761,'2 stopień 20_21'!$G$9:$G$761,"MEC.07.",'2 stopień 20_21'!$K$9:$K$761,"CKZ Wschowa")</f>
        <v>0</v>
      </c>
      <c r="X57" s="104">
        <f>SUMIFS('2 stopień 20_21'!$I$9:$I$761,'2 stopień 20_21'!$G$9:$G$761,"MEC.07.",'2 stopień 20_21'!$K$9:$K$761,"CKZ Zielona Góra")</f>
        <v>0</v>
      </c>
      <c r="Y57" s="104">
        <f>SUMIFS('2 stopień 20_21'!$I$9:$I$761,'2 stopień 20_21'!$G$9:$G$761,"MEC.07.",'2 stopień 20_21'!$K$9:$K$761,"Rzemieślnicza Wałbrzych")</f>
        <v>0</v>
      </c>
      <c r="Z57" s="104">
        <f>SUMIFS('2 stopień 20_21'!$I$9:$I$761,'2 stopień 20_21'!$G$9:$G$761,"MEC.07.",'2 stopień 20_21'!$K$9:$K$761,"CKZ Mosina")</f>
        <v>0</v>
      </c>
      <c r="AA57" s="104">
        <f>SUMIFS('2 stopień 20_21'!$I$9:$I$761,'2 stopień 20_21'!$G$9:$G$761,"MEC.07.",'2 stopień 20_21'!$K$9:$K$761,"CKZ Słupsk")</f>
        <v>0</v>
      </c>
      <c r="AB57" s="104">
        <f>SUMIFS('2 stopień 20_21'!$I$9:$I$761,'2 stopień 20_21'!$G$9:$G$761,"MEC.07.",'2 stopień 20_21'!$K$9:$K$761,"CKZ Opole")</f>
        <v>0</v>
      </c>
      <c r="AC57" s="104">
        <f>SUMIFS('2 stopień 20_21'!$I$9:$I$761,'2 stopień 20_21'!$G$9:$G$761,"MEC.07.",'2 stopień 20_21'!$K$9:$K$761,"CKZ Wrocław")</f>
        <v>0</v>
      </c>
      <c r="AD57" s="104">
        <f>SUMIFS('2 stopień 20_21'!$I$9:$I$761,'2 stopień 20_21'!$G$9:$G$761,"MEC.07.",'2 stopień 20_21'!$K$9:$K$761,"Brzeg Dolny")</f>
        <v>0</v>
      </c>
      <c r="AE57" s="104">
        <f>SUMIFS('2 stopień 20_21'!$I$9:$I$761,'2 stopień 20_21'!$G$9:$G$761,"MEC.07.",'2 stopień 20_21'!$K$9:$K$761,"")</f>
        <v>0</v>
      </c>
      <c r="AF57" s="105">
        <f t="shared" si="0"/>
        <v>0</v>
      </c>
    </row>
    <row r="58" spans="2:32">
      <c r="B58" s="106" t="s">
        <v>217</v>
      </c>
      <c r="C58" s="107">
        <v>722204</v>
      </c>
      <c r="D58" s="107" t="s">
        <v>847</v>
      </c>
      <c r="E58" s="106" t="s">
        <v>846</v>
      </c>
      <c r="F58" s="103">
        <f>SUMIF('2 stopień 20_21'!G$9:G$761,"MEC.08.",'2 stopień 20_21'!I$9:I$761)</f>
        <v>93</v>
      </c>
      <c r="G58" s="104">
        <f>SUMIFS('2 stopień 20_21'!$I$9:$I$761,'2 stopień 20_21'!$G$9:$G$761,"MEC.08.",'2 stopień 20_21'!$K$9:$K$761,"CKZ Bielawa")</f>
        <v>0</v>
      </c>
      <c r="H58" s="104">
        <f>SUMIFS('2 stopień 20_21'!$I$9:$I$761,'2 stopień 20_21'!$G$9:$G$761,"MEC.08.",'2 stopień 20_21'!$K$9:$K$761,"GCKZ Głogów")</f>
        <v>0</v>
      </c>
      <c r="I58" s="104">
        <f>SUMIFS('2 stopień 20_21'!$I$9:$I$761,'2 stopień 20_21'!$G$9:$G$761,"MEC.08.",'2 stopień 20_21'!$K$9:$K$761,"CKZ Jawor")</f>
        <v>0</v>
      </c>
      <c r="J58" s="104">
        <f>SUMIFS('2 stopień 20_21'!$I$9:$I$761,'2 stopień 20_21'!$G$9:$G$761,"MEC.08.",'2 stopień 20_21'!$K$9:$K$761,"JCKZ Jelenia Góra")</f>
        <v>0</v>
      </c>
      <c r="K58" s="104">
        <f>SUMIFS('2 stopień 20_21'!$I$9:$I$761,'2 stopień 20_21'!$G$9:$G$761,"MEC.08.",'2 stopień 20_21'!$K$9:$K$761,"CKZ Kłodzko")</f>
        <v>0</v>
      </c>
      <c r="L58" s="104">
        <f>SUMIFS('2 stopień 20_21'!$I$9:$I$761,'2 stopień 20_21'!$G$9:$G$761,"MEC.08.",'2 stopień 20_21'!$K$9:$K$761,"CKZ Legnica")</f>
        <v>0</v>
      </c>
      <c r="M58" s="104">
        <f>SUMIFS('2 stopień 20_21'!$I$9:$I$761,'2 stopień 20_21'!$G$9:$G$761,"MEC.08.",'2 stopień 20_21'!$K$9:$K$761,"CKZ Oleśnica")</f>
        <v>0</v>
      </c>
      <c r="N58" s="104">
        <f>SUMIFS('2 stopień 20_21'!$I$9:$I$761,'2 stopień 20_21'!$G$9:$G$761,"MEC.08.",'2 stopień 20_21'!$K$9:$K$761,"CKZ Świdnica")</f>
        <v>44</v>
      </c>
      <c r="O58" s="104">
        <f>SUMIFS('2 stopień 20_21'!$I$9:$I$761,'2 stopień 20_21'!$G$9:$G$761,"MEC.08.",'2 stopień 20_21'!$K$9:$K$761,"CKZ Wołów")</f>
        <v>34</v>
      </c>
      <c r="P58" s="104">
        <f>SUMIFS('2 stopień 20_21'!$I$9:$I$761,'2 stopień 20_21'!$G$9:$G$761,"MEC.08.",'2 stopień 20_21'!$K$9:$K$761,"CKZ Ziębice")</f>
        <v>0</v>
      </c>
      <c r="Q58" s="104">
        <f>SUMIFS('2 stopień 20_21'!$I$9:$I$761,'2 stopień 20_21'!$G$9:$G$761,"MEC.08.",'2 stopień 20_21'!$K$9:$K$761,"CKZ Dobrodzień")</f>
        <v>0</v>
      </c>
      <c r="R58" s="104">
        <f>SUMIFS('2 stopień 20_21'!$I$9:$I$761,'2 stopień 20_21'!$G$9:$G$761,"MEC.08.",'2 stopień 20_21'!$K$9:$K$761,"CKZ Głubczyce")</f>
        <v>0</v>
      </c>
      <c r="S58" s="104">
        <f>SUMIFS('2 stopień 20_21'!$I$9:$I$761,'2 stopień 20_21'!$G$9:$G$761,"MEC.08.",'2 stopień 20_21'!$K$9:$K$761,"CKZ Kędzierzyn Koźle")</f>
        <v>0</v>
      </c>
      <c r="T58" s="104">
        <f>SUMIFS('2 stopień 20_21'!$I$9:$I$761,'2 stopień 20_21'!$G$9:$G$761,"MEC.08.",'2 stopień 20_21'!$K$9:$K$761,"CKZ Kluczbork")</f>
        <v>0</v>
      </c>
      <c r="U58" s="104">
        <f>SUMIFS('2 stopień 20_21'!$I$9:$I$761,'2 stopień 20_21'!$G$9:$G$761,"MEC.08.",'2 stopień 20_21'!$K$9:$K$761,"CKZ Krotoszyn")</f>
        <v>3</v>
      </c>
      <c r="V58" s="104">
        <f>SUMIFS('2 stopień 20_21'!$I$9:$I$761,'2 stopień 20_21'!$G$9:$G$761,"MEC.08.",'2 stopień 20_21'!$K$9:$K$761,"CKZ Olkusz")</f>
        <v>0</v>
      </c>
      <c r="W58" s="104">
        <f>SUMIFS('2 stopień 20_21'!$I$9:$I$761,'2 stopień 20_21'!$G$9:$G$761,"MEC.08.",'2 stopień 20_21'!$K$9:$K$761,"CKZ Wschowa")</f>
        <v>10</v>
      </c>
      <c r="X58" s="104">
        <f>SUMIFS('2 stopień 20_21'!$I$9:$I$761,'2 stopień 20_21'!$G$9:$G$761,"MEC.08.",'2 stopień 20_21'!$K$9:$K$761,"CKZ Zielona Góra")</f>
        <v>0</v>
      </c>
      <c r="Y58" s="104">
        <f>SUMIFS('2 stopień 20_21'!$I$9:$I$761,'2 stopień 20_21'!$G$9:$G$761,"MEC.08.",'2 stopień 20_21'!$K$9:$K$761,"Rzemieślnicza Wałbrzych")</f>
        <v>0</v>
      </c>
      <c r="Z58" s="104">
        <f>SUMIFS('2 stopień 20_21'!$I$9:$I$761,'2 stopień 20_21'!$G$9:$G$761,"MEC.08.",'2 stopień 20_21'!$K$9:$K$761,"CKZ Mosina")</f>
        <v>0</v>
      </c>
      <c r="AA58" s="104">
        <f>SUMIFS('2 stopień 20_21'!$I$9:$I$761,'2 stopień 20_21'!$G$9:$G$761,"MEC.08.",'2 stopień 20_21'!$K$9:$K$761,"CKZ Słupsk")</f>
        <v>0</v>
      </c>
      <c r="AB58" s="104">
        <f>SUMIFS('2 stopień 20_21'!$I$9:$I$761,'2 stopień 20_21'!$G$9:$G$761,"MEC.08.",'2 stopień 20_21'!$K$9:$K$761,"CKZ Opole")</f>
        <v>2</v>
      </c>
      <c r="AC58" s="104">
        <f>SUMIFS('2 stopień 20_21'!$I$9:$I$761,'2 stopień 20_21'!$G$9:$G$761,"MEC.08.",'2 stopień 20_21'!$K$9:$K$761,"CKZ Wrocław")</f>
        <v>0</v>
      </c>
      <c r="AD58" s="104">
        <f>SUMIFS('2 stopień 20_21'!$I$9:$I$761,'2 stopień 20_21'!$G$9:$G$761,"MEC.08.",'2 stopień 20_21'!$K$9:$K$761,"Brzeg Dolny")</f>
        <v>0</v>
      </c>
      <c r="AE58" s="104">
        <f>SUMIFS('2 stopień 20_21'!$I$9:$I$761,'2 stopień 20_21'!$G$9:$G$761,"MEC.08.",'2 stopień 20_21'!$K$9:$K$761,"")</f>
        <v>0</v>
      </c>
      <c r="AF58" s="105">
        <f t="shared" si="0"/>
        <v>93</v>
      </c>
    </row>
    <row r="59" spans="2:32">
      <c r="B59" s="106" t="s">
        <v>628</v>
      </c>
      <c r="C59" s="107">
        <v>731103</v>
      </c>
      <c r="D59" s="107" t="s">
        <v>845</v>
      </c>
      <c r="E59" s="106" t="s">
        <v>844</v>
      </c>
      <c r="F59" s="103">
        <f>SUMIF('2 stopień 20_21'!G$9:G$761,"MEP.01.",'2 stopień 20_21'!I$9:I$761)</f>
        <v>0</v>
      </c>
      <c r="G59" s="104">
        <f>SUMIFS('2 stopień 20_21'!$I$9:$I$761,'2 stopień 20_21'!$G$9:$G$761,"MEP.01.",'2 stopień 20_21'!$K$9:$K$761,"CKZ Bielawa")</f>
        <v>0</v>
      </c>
      <c r="H59" s="104">
        <f>SUMIFS('2 stopień 20_21'!$I$9:$I$761,'2 stopień 20_21'!$G$9:$G$761,"MEP.01.",'2 stopień 20_21'!$K$9:$K$761,"GCKZ Głogów")</f>
        <v>0</v>
      </c>
      <c r="I59" s="104">
        <f>SUMIFS('2 stopień 20_21'!$I$9:$I$761,'2 stopień 20_21'!$G$9:$G$761,"MEP.01.",'2 stopień 20_21'!$K$9:$K$761,"CKZ Jawor")</f>
        <v>0</v>
      </c>
      <c r="J59" s="104">
        <f>SUMIFS('2 stopień 20_21'!$I$9:$I$761,'2 stopień 20_21'!$G$9:$G$761,"MEP.01.",'2 stopień 20_21'!$K$9:$K$761,"JCKZ Jelenia Góra")</f>
        <v>0</v>
      </c>
      <c r="K59" s="104">
        <f>SUMIFS('2 stopień 20_21'!$I$9:$I$761,'2 stopień 20_21'!$G$9:$G$761,"MEP.01.",'2 stopień 20_21'!$K$9:$K$761,"CKZ Kłodzko")</f>
        <v>0</v>
      </c>
      <c r="L59" s="104">
        <f>SUMIFS('2 stopień 20_21'!$I$9:$I$761,'2 stopień 20_21'!$G$9:$G$761,"MEP.01.",'2 stopień 20_21'!$K$9:$K$761,"CKZ Legnica")</f>
        <v>0</v>
      </c>
      <c r="M59" s="104">
        <f>SUMIFS('2 stopień 20_21'!$I$9:$I$761,'2 stopień 20_21'!$G$9:$G$761,"MEP.01.",'2 stopień 20_21'!$K$9:$K$761,"CKZ Oleśnica")</f>
        <v>0</v>
      </c>
      <c r="N59" s="104">
        <f>SUMIFS('2 stopień 20_21'!$I$9:$I$761,'2 stopień 20_21'!$G$9:$G$761,"MEP.01.",'2 stopień 20_21'!$K$9:$K$761,"CKZ Świdnica")</f>
        <v>0</v>
      </c>
      <c r="O59" s="104">
        <f>SUMIFS('2 stopień 20_21'!$I$9:$I$761,'2 stopień 20_21'!$G$9:$G$761,"MEP.01.",'2 stopień 20_21'!$K$9:$K$761,"CKZ Wołów")</f>
        <v>0</v>
      </c>
      <c r="P59" s="104">
        <f>SUMIFS('2 stopień 20_21'!$I$9:$I$761,'2 stopień 20_21'!$G$9:$G$761,"MEP.01.",'2 stopień 20_21'!$K$9:$K$761,"CKZ Ziębice")</f>
        <v>0</v>
      </c>
      <c r="Q59" s="104">
        <f>SUMIFS('2 stopień 20_21'!$I$9:$I$761,'2 stopień 20_21'!$G$9:$G$761,"MEP.01.",'2 stopień 20_21'!$K$9:$K$761,"CKZ Dobrodzień")</f>
        <v>0</v>
      </c>
      <c r="R59" s="104">
        <f>SUMIFS('2 stopień 20_21'!$I$9:$I$761,'2 stopień 20_21'!$G$9:$G$761,"MEP.01.",'2 stopień 20_21'!$K$9:$K$761,"CKZ Głubczyce")</f>
        <v>0</v>
      </c>
      <c r="S59" s="104">
        <f>SUMIFS('2 stopień 20_21'!$I$9:$I$761,'2 stopień 20_21'!$G$9:$G$761,"MEP.01.",'2 stopień 20_21'!$K$9:$K$761,"CKZ Kędzierzyn Koźle")</f>
        <v>0</v>
      </c>
      <c r="T59" s="104">
        <f>SUMIFS('2 stopień 20_21'!$I$9:$I$761,'2 stopień 20_21'!$G$9:$G$761,"MEP.01.",'2 stopień 20_21'!$K$9:$K$761,"CKZ Kluczbork")</f>
        <v>0</v>
      </c>
      <c r="U59" s="104">
        <f>SUMIFS('2 stopień 20_21'!$I$9:$I$761,'2 stopień 20_21'!$G$9:$G$761,"MEP.01.",'2 stopień 20_21'!$K$9:$K$761,"CKZ Krotoszyn")</f>
        <v>0</v>
      </c>
      <c r="V59" s="104">
        <f>SUMIFS('2 stopień 20_21'!$I$9:$I$761,'2 stopień 20_21'!$G$9:$G$761,"MEP.01.",'2 stopień 20_21'!$K$9:$K$761,"CKZ Olkusz")</f>
        <v>0</v>
      </c>
      <c r="W59" s="104">
        <f>SUMIFS('2 stopień 20_21'!$I$9:$I$761,'2 stopień 20_21'!$G$9:$G$761,"MEP.01.",'2 stopień 20_21'!$K$9:$K$761,"CKZ Wschowa")</f>
        <v>0</v>
      </c>
      <c r="X59" s="104">
        <f>SUMIFS('2 stopień 20_21'!$I$9:$I$761,'2 stopień 20_21'!$G$9:$G$761,"MEP.01.",'2 stopień 20_21'!$K$9:$K$761,"CKZ Zielona Góra")</f>
        <v>0</v>
      </c>
      <c r="Y59" s="104">
        <f>SUMIFS('2 stopień 20_21'!$I$9:$I$761,'2 stopień 20_21'!$G$9:$G$761,"MEP.01.",'2 stopień 20_21'!$K$9:$K$761,"Rzemieślnicza Wałbrzych")</f>
        <v>0</v>
      </c>
      <c r="Z59" s="104">
        <f>SUMIFS('2 stopień 20_21'!$I$9:$I$761,'2 stopień 20_21'!$G$9:$G$761,"MEP.01.",'2 stopień 20_21'!$K$9:$K$761,"CKZ Mosina")</f>
        <v>0</v>
      </c>
      <c r="AA59" s="104">
        <f>SUMIFS('2 stopień 20_21'!$I$9:$I$761,'2 stopień 20_21'!$G$9:$G$761,"MEP.01.",'2 stopień 20_21'!$K$9:$K$761,"CKZ Słupsk")</f>
        <v>0</v>
      </c>
      <c r="AB59" s="104">
        <f>SUMIFS('2 stopień 20_21'!$I$9:$I$761,'2 stopień 20_21'!$G$9:$G$761,"MEP.01.",'2 stopień 20_21'!$K$9:$K$761,"CKZ Opole")</f>
        <v>0</v>
      </c>
      <c r="AC59" s="104">
        <f>SUMIFS('2 stopień 20_21'!$I$9:$I$761,'2 stopień 20_21'!$G$9:$G$761,"MEP.01.",'2 stopień 20_21'!$K$9:$K$761,"CKZ Wrocław")</f>
        <v>0</v>
      </c>
      <c r="AD59" s="104">
        <f>SUMIFS('2 stopień 20_21'!$I$9:$I$761,'2 stopień 20_21'!$G$9:$G$761,"MEP.01.",'2 stopień 20_21'!$K$9:$K$761,"Brzeg Dolny")</f>
        <v>0</v>
      </c>
      <c r="AE59" s="104">
        <f>SUMIFS('2 stopień 20_21'!$I$9:$I$761,'2 stopień 20_21'!$G$9:$G$761,"MEP.01.",'2 stopień 20_21'!$K$9:$K$761,"")</f>
        <v>0</v>
      </c>
      <c r="AF59" s="105">
        <f t="shared" si="0"/>
        <v>0</v>
      </c>
    </row>
    <row r="60" spans="2:32">
      <c r="B60" s="106" t="s">
        <v>629</v>
      </c>
      <c r="C60" s="107">
        <v>731104</v>
      </c>
      <c r="D60" s="107" t="s">
        <v>843</v>
      </c>
      <c r="E60" s="106" t="s">
        <v>842</v>
      </c>
      <c r="F60" s="103">
        <f>SUMIF('2 stopień 20_21'!G$9:G$761,"MEP.02.",'2 stopień 20_21'!I$9:I$761)</f>
        <v>0</v>
      </c>
      <c r="G60" s="104">
        <f>SUMIFS('2 stopień 20_21'!$I$9:$I$761,'2 stopień 20_21'!$G$9:$G$761,"MEP.02.",'2 stopień 20_21'!$K$9:$K$761,"CKZ Bielawa")</f>
        <v>0</v>
      </c>
      <c r="H60" s="104">
        <f>SUMIFS('2 stopień 20_21'!$I$9:$I$761,'2 stopień 20_21'!$G$9:$G$761,"MEP.02.",'2 stopień 20_21'!$K$9:$K$761,"GCKZ Głogów")</f>
        <v>0</v>
      </c>
      <c r="I60" s="104">
        <f>SUMIFS('2 stopień 20_21'!$I$9:$I$761,'2 stopień 20_21'!$G$9:$G$761,"MEP.02.",'2 stopień 20_21'!$K$9:$K$761,"CKZ Jawor")</f>
        <v>0</v>
      </c>
      <c r="J60" s="104">
        <f>SUMIFS('2 stopień 20_21'!$I$9:$I$761,'2 stopień 20_21'!$G$9:$G$761,"MEP.02.",'2 stopień 20_21'!$K$9:$K$761,"JCKZ Jelenia Góra")</f>
        <v>0</v>
      </c>
      <c r="K60" s="104">
        <f>SUMIFS('2 stopień 20_21'!$I$9:$I$761,'2 stopień 20_21'!$G$9:$G$761,"MEP.02.",'2 stopień 20_21'!$K$9:$K$761,"CKZ Kłodzko")</f>
        <v>0</v>
      </c>
      <c r="L60" s="104">
        <f>SUMIFS('2 stopień 20_21'!$I$9:$I$761,'2 stopień 20_21'!$G$9:$G$761,"MEP.02.",'2 stopień 20_21'!$K$9:$K$761,"CKZ Legnica")</f>
        <v>0</v>
      </c>
      <c r="M60" s="104">
        <f>SUMIFS('2 stopień 20_21'!$I$9:$I$761,'2 stopień 20_21'!$G$9:$G$761,"MEP.02.",'2 stopień 20_21'!$K$9:$K$761,"CKZ Oleśnica")</f>
        <v>0</v>
      </c>
      <c r="N60" s="104">
        <f>SUMIFS('2 stopień 20_21'!$I$9:$I$761,'2 stopień 20_21'!$G$9:$G$761,"MEP.02.",'2 stopień 20_21'!$K$9:$K$761,"CKZ Świdnica")</f>
        <v>0</v>
      </c>
      <c r="O60" s="104">
        <f>SUMIFS('2 stopień 20_21'!$I$9:$I$761,'2 stopień 20_21'!$G$9:$G$761,"MEP.02.",'2 stopień 20_21'!$K$9:$K$761,"CKZ Wołów")</f>
        <v>0</v>
      </c>
      <c r="P60" s="104">
        <f>SUMIFS('2 stopień 20_21'!$I$9:$I$761,'2 stopień 20_21'!$G$9:$G$761,"MEP.02.",'2 stopień 20_21'!$K$9:$K$761,"CKZ Ziębice")</f>
        <v>0</v>
      </c>
      <c r="Q60" s="104">
        <f>SUMIFS('2 stopień 20_21'!$I$9:$I$761,'2 stopień 20_21'!$G$9:$G$761,"MEP.02.",'2 stopień 20_21'!$K$9:$K$761,"CKZ Dobrodzień")</f>
        <v>0</v>
      </c>
      <c r="R60" s="104">
        <f>SUMIFS('2 stopień 20_21'!$I$9:$I$761,'2 stopień 20_21'!$G$9:$G$761,"MEP.02.",'2 stopień 20_21'!$K$9:$K$761,"CKZ Głubczyce")</f>
        <v>0</v>
      </c>
      <c r="S60" s="104">
        <f>SUMIFS('2 stopień 20_21'!$I$9:$I$761,'2 stopień 20_21'!$G$9:$G$761,"MEP.02.",'2 stopień 20_21'!$K$9:$K$761,"CKZ Kędzierzyn Koźle")</f>
        <v>0</v>
      </c>
      <c r="T60" s="104">
        <f>SUMIFS('2 stopień 20_21'!$I$9:$I$761,'2 stopień 20_21'!$G$9:$G$761,"MEP.02.",'2 stopień 20_21'!$K$9:$K$761,"CKZ Kluczbork")</f>
        <v>0</v>
      </c>
      <c r="U60" s="104">
        <f>SUMIFS('2 stopień 20_21'!$I$9:$I$761,'2 stopień 20_21'!$G$9:$G$761,"MEP.02.",'2 stopień 20_21'!$K$9:$K$761,"CKZ Krotoszyn")</f>
        <v>0</v>
      </c>
      <c r="V60" s="104">
        <f>SUMIFS('2 stopień 20_21'!$I$9:$I$761,'2 stopień 20_21'!$G$9:$G$761,"MEP.02.",'2 stopień 20_21'!$K$9:$K$761,"CKZ Olkusz")</f>
        <v>0</v>
      </c>
      <c r="W60" s="104">
        <f>SUMIFS('2 stopień 20_21'!$I$9:$I$761,'2 stopień 20_21'!$G$9:$G$761,"MEP.02.",'2 stopień 20_21'!$K$9:$K$761,"CKZ Wschowa")</f>
        <v>0</v>
      </c>
      <c r="X60" s="104">
        <f>SUMIFS('2 stopień 20_21'!$I$9:$I$761,'2 stopień 20_21'!$G$9:$G$761,"MEP.02.",'2 stopień 20_21'!$K$9:$K$761,"CKZ Zielona Góra")</f>
        <v>0</v>
      </c>
      <c r="Y60" s="104">
        <f>SUMIFS('2 stopień 20_21'!$I$9:$I$761,'2 stopień 20_21'!$G$9:$G$761,"MEP.02.",'2 stopień 20_21'!$K$9:$K$761,"Rzemieślnicza Wałbrzych")</f>
        <v>0</v>
      </c>
      <c r="Z60" s="104">
        <f>SUMIFS('2 stopień 20_21'!$I$9:$I$761,'2 stopień 20_21'!$G$9:$G$761,"MEP.02.",'2 stopień 20_21'!$K$9:$K$761,"CKZ Mosina")</f>
        <v>0</v>
      </c>
      <c r="AA60" s="104">
        <f>SUMIFS('2 stopień 20_21'!$I$9:$I$761,'2 stopień 20_21'!$G$9:$G$761,"MEP.02.",'2 stopień 20_21'!$K$9:$K$761,"CKZ Słupsk")</f>
        <v>0</v>
      </c>
      <c r="AB60" s="104">
        <f>SUMIFS('2 stopień 20_21'!$I$9:$I$761,'2 stopień 20_21'!$G$9:$G$761,"MEP.02.",'2 stopień 20_21'!$K$9:$K$761,"CKZ Opole")</f>
        <v>0</v>
      </c>
      <c r="AC60" s="104">
        <f>SUMIFS('2 stopień 20_21'!$I$9:$I$761,'2 stopień 20_21'!$G$9:$G$761,"MEP.02.",'2 stopień 20_21'!$K$9:$K$761,"CKZ Wrocław")</f>
        <v>0</v>
      </c>
      <c r="AD60" s="104">
        <f>SUMIFS('2 stopień 20_21'!$I$9:$I$761,'2 stopień 20_21'!$G$9:$G$761,"MEP.02.",'2 stopień 20_21'!$K$9:$K$761,"Brzeg Dolny")</f>
        <v>0</v>
      </c>
      <c r="AE60" s="104">
        <f>SUMIFS('2 stopień 20_21'!$I$9:$I$761,'2 stopień 20_21'!$G$9:$G$761,"MEP.02.",'2 stopień 20_21'!$K$9:$K$761,"")</f>
        <v>0</v>
      </c>
      <c r="AF60" s="105">
        <f t="shared" si="0"/>
        <v>0</v>
      </c>
    </row>
    <row r="61" spans="2:32">
      <c r="B61" s="106" t="s">
        <v>630</v>
      </c>
      <c r="C61" s="107">
        <v>731106</v>
      </c>
      <c r="D61" s="107" t="s">
        <v>841</v>
      </c>
      <c r="E61" s="106" t="s">
        <v>840</v>
      </c>
      <c r="F61" s="103">
        <f>SUMIF('2 stopień 20_21'!G$9:G$761,"MEP.04.",'2 stopień 20_21'!I$9:I$761)</f>
        <v>0</v>
      </c>
      <c r="G61" s="104">
        <f>SUMIFS('2 stopień 20_21'!$I$9:$I$761,'2 stopień 20_21'!$G$9:$G$761,"MEP.04.",'2 stopień 20_21'!$K$9:$K$761,"CKZ Bielawa")</f>
        <v>0</v>
      </c>
      <c r="H61" s="104">
        <f>SUMIFS('2 stopień 20_21'!$I$9:$I$761,'2 stopień 20_21'!$G$9:$G$761,"MEP.04.",'2 stopień 20_21'!$K$9:$K$761,"GCKZ Głogów")</f>
        <v>0</v>
      </c>
      <c r="I61" s="104">
        <f>SUMIFS('2 stopień 20_21'!$I$9:$I$761,'2 stopień 20_21'!$G$9:$G$761,"MEP.04.",'2 stopień 20_21'!$K$9:$K$761,"CKZ Jawor")</f>
        <v>0</v>
      </c>
      <c r="J61" s="104">
        <f>SUMIFS('2 stopień 20_21'!$I$9:$I$761,'2 stopień 20_21'!$G$9:$G$761,"MEP.04.",'2 stopień 20_21'!$K$9:$K$761,"JCKZ Jelenia Góra")</f>
        <v>0</v>
      </c>
      <c r="K61" s="104">
        <f>SUMIFS('2 stopień 20_21'!$I$9:$I$761,'2 stopień 20_21'!$G$9:$G$761,"MEP.04.",'2 stopień 20_21'!$K$9:$K$761,"CKZ Kłodzko")</f>
        <v>0</v>
      </c>
      <c r="L61" s="104">
        <f>SUMIFS('2 stopień 20_21'!$I$9:$I$761,'2 stopień 20_21'!$G$9:$G$761,"MEP.04.",'2 stopień 20_21'!$K$9:$K$761,"CKZ Legnica")</f>
        <v>0</v>
      </c>
      <c r="M61" s="104">
        <f>SUMIFS('2 stopień 20_21'!$I$9:$I$761,'2 stopień 20_21'!$G$9:$G$761,"MEP.04.",'2 stopień 20_21'!$K$9:$K$761,"CKZ Oleśnica")</f>
        <v>0</v>
      </c>
      <c r="N61" s="104">
        <f>SUMIFS('2 stopień 20_21'!$I$9:$I$761,'2 stopień 20_21'!$G$9:$G$761,"MEP.04.",'2 stopień 20_21'!$K$9:$K$761,"CKZ Świdnica")</f>
        <v>0</v>
      </c>
      <c r="O61" s="104">
        <f>SUMIFS('2 stopień 20_21'!$I$9:$I$761,'2 stopień 20_21'!$G$9:$G$761,"MEP.04.",'2 stopień 20_21'!$K$9:$K$761,"CKZ Wołów")</f>
        <v>0</v>
      </c>
      <c r="P61" s="104">
        <f>SUMIFS('2 stopień 20_21'!$I$9:$I$761,'2 stopień 20_21'!$G$9:$G$761,"MEP.04.",'2 stopień 20_21'!$K$9:$K$761,"CKZ Ziębice")</f>
        <v>0</v>
      </c>
      <c r="Q61" s="104">
        <f>SUMIFS('2 stopień 20_21'!$I$9:$I$761,'2 stopień 20_21'!$G$9:$G$761,"MEP.04.",'2 stopień 20_21'!$K$9:$K$761,"CKZ Dobrodzień")</f>
        <v>0</v>
      </c>
      <c r="R61" s="104">
        <f>SUMIFS('2 stopień 20_21'!$I$9:$I$761,'2 stopień 20_21'!$G$9:$G$761,"MEP.04.",'2 stopień 20_21'!$K$9:$K$761,"CKZ Głubczyce")</f>
        <v>0</v>
      </c>
      <c r="S61" s="104">
        <f>SUMIFS('2 stopień 20_21'!$I$9:$I$761,'2 stopień 20_21'!$G$9:$G$761,"MEP.04.",'2 stopień 20_21'!$K$9:$K$761,"CKZ Kędzierzyn Koźle")</f>
        <v>0</v>
      </c>
      <c r="T61" s="104">
        <f>SUMIFS('2 stopień 20_21'!$I$9:$I$761,'2 stopień 20_21'!$G$9:$G$761,"MEP.04.",'2 stopień 20_21'!$K$9:$K$761,"CKZ Kluczbork")</f>
        <v>0</v>
      </c>
      <c r="U61" s="104">
        <f>SUMIFS('2 stopień 20_21'!$I$9:$I$761,'2 stopień 20_21'!$G$9:$G$761,"MEP.04.",'2 stopień 20_21'!$K$9:$K$761,"CKZ Krotoszyn")</f>
        <v>0</v>
      </c>
      <c r="V61" s="104">
        <f>SUMIFS('2 stopień 20_21'!$I$9:$I$761,'2 stopień 20_21'!$G$9:$G$761,"MEP.04.",'2 stopień 20_21'!$K$9:$K$761,"CKZ Olkusz")</f>
        <v>0</v>
      </c>
      <c r="W61" s="104">
        <f>SUMIFS('2 stopień 20_21'!$I$9:$I$761,'2 stopień 20_21'!$G$9:$G$761,"MEP.04.",'2 stopień 20_21'!$K$9:$K$761,"CKZ Wschowa")</f>
        <v>0</v>
      </c>
      <c r="X61" s="104">
        <f>SUMIFS('2 stopień 20_21'!$I$9:$I$761,'2 stopień 20_21'!$G$9:$G$761,"MEP.04.",'2 stopień 20_21'!$K$9:$K$761,"CKZ Zielona Góra")</f>
        <v>0</v>
      </c>
      <c r="Y61" s="104">
        <f>SUMIFS('2 stopień 20_21'!$I$9:$I$761,'2 stopień 20_21'!$G$9:$G$761,"MEP.04.",'2 stopień 20_21'!$K$9:$K$761,"Rzemieślnicza Wałbrzych")</f>
        <v>0</v>
      </c>
      <c r="Z61" s="104">
        <f>SUMIFS('2 stopień 20_21'!$I$9:$I$761,'2 stopień 20_21'!$G$9:$G$761,"MEP.04.",'2 stopień 20_21'!$K$9:$K$761,"CKZ Mosina")</f>
        <v>0</v>
      </c>
      <c r="AA61" s="104">
        <f>SUMIFS('2 stopień 20_21'!$I$9:$I$761,'2 stopień 20_21'!$G$9:$G$761,"MEP.04.",'2 stopień 20_21'!$K$9:$K$761,"CKZ Słupsk")</f>
        <v>0</v>
      </c>
      <c r="AB61" s="104">
        <f>SUMIFS('2 stopień 20_21'!$I$9:$I$761,'2 stopień 20_21'!$G$9:$G$761,"MEP.04.",'2 stopień 20_21'!$K$9:$K$761,"CKZ Opole")</f>
        <v>0</v>
      </c>
      <c r="AC61" s="104">
        <f>SUMIFS('2 stopień 20_21'!$I$9:$I$761,'2 stopień 20_21'!$G$9:$G$761,"MEP.04.",'2 stopień 20_21'!$K$9:$K$761,"CKZ Wrocław")</f>
        <v>0</v>
      </c>
      <c r="AD61" s="104">
        <f>SUMIFS('2 stopień 20_21'!$I$9:$I$761,'2 stopień 20_21'!$G$9:$G$761,"MEP.04.",'2 stopień 20_21'!$K$9:$K$761,"Brzeg Dolny")</f>
        <v>0</v>
      </c>
      <c r="AE61" s="104">
        <f>SUMIFS('2 stopień 20_21'!$I$9:$I$761,'2 stopień 20_21'!$G$9:$G$761,"MEP.04.",'2 stopień 20_21'!$K$9:$K$761,"")</f>
        <v>0</v>
      </c>
      <c r="AF61" s="105">
        <f t="shared" si="0"/>
        <v>0</v>
      </c>
    </row>
    <row r="62" spans="2:32">
      <c r="B62" s="106" t="s">
        <v>631</v>
      </c>
      <c r="C62" s="107">
        <v>731305</v>
      </c>
      <c r="D62" s="107" t="s">
        <v>839</v>
      </c>
      <c r="E62" s="106" t="s">
        <v>838</v>
      </c>
      <c r="F62" s="103">
        <f>SUMIF('2 stopień 20_21'!G$9:G$761,"MEP.05.",'2 stopień 20_21'!I$9:I$761)</f>
        <v>1</v>
      </c>
      <c r="G62" s="104">
        <f>SUMIFS('2 stopień 20_21'!$I$9:$I$761,'2 stopień 20_21'!$G$9:$G$761,"MEP.05.",'2 stopień 20_21'!$K$9:$K$761,"CKZ Bielawa")</f>
        <v>0</v>
      </c>
      <c r="H62" s="104">
        <f>SUMIFS('2 stopień 20_21'!$I$9:$I$761,'2 stopień 20_21'!$G$9:$G$761,"MEP.05.",'2 stopień 20_21'!$K$9:$K$761,"GCKZ Głogów")</f>
        <v>0</v>
      </c>
      <c r="I62" s="104">
        <f>SUMIFS('2 stopień 20_21'!$I$9:$I$761,'2 stopień 20_21'!$G$9:$G$761,"MEP.05.",'2 stopień 20_21'!$K$9:$K$761,"CKZ Jawor")</f>
        <v>0</v>
      </c>
      <c r="J62" s="104">
        <f>SUMIFS('2 stopień 20_21'!$I$9:$I$761,'2 stopień 20_21'!$G$9:$G$761,"MEP.05.",'2 stopień 20_21'!$K$9:$K$761,"JCKZ Jelenia Góra")</f>
        <v>0</v>
      </c>
      <c r="K62" s="104">
        <f>SUMIFS('2 stopień 20_21'!$I$9:$I$761,'2 stopień 20_21'!$G$9:$G$761,"MEP.05.",'2 stopień 20_21'!$K$9:$K$761,"CKZ Kłodzko")</f>
        <v>0</v>
      </c>
      <c r="L62" s="104">
        <f>SUMIFS('2 stopień 20_21'!$I$9:$I$761,'2 stopień 20_21'!$G$9:$G$761,"MEP.05.",'2 stopień 20_21'!$K$9:$K$761,"CKZ Legnica")</f>
        <v>0</v>
      </c>
      <c r="M62" s="104">
        <f>SUMIFS('2 stopień 20_21'!$I$9:$I$761,'2 stopień 20_21'!$G$9:$G$761,"MEP.05.",'2 stopień 20_21'!$K$9:$K$761,"CKZ Oleśnica")</f>
        <v>0</v>
      </c>
      <c r="N62" s="104">
        <f>SUMIFS('2 stopień 20_21'!$I$9:$I$761,'2 stopień 20_21'!$G$9:$G$761,"MEP.05.",'2 stopień 20_21'!$K$9:$K$761,"CKZ Świdnica")</f>
        <v>0</v>
      </c>
      <c r="O62" s="104">
        <f>SUMIFS('2 stopień 20_21'!$I$9:$I$761,'2 stopień 20_21'!$G$9:$G$761,"MEP.05.",'2 stopień 20_21'!$K$9:$K$761,"CKZ Wołów")</f>
        <v>0</v>
      </c>
      <c r="P62" s="104">
        <f>SUMIFS('2 stopień 20_21'!$I$9:$I$761,'2 stopień 20_21'!$G$9:$G$761,"MEP.05.",'2 stopień 20_21'!$K$9:$K$761,"CKZ Ziębice")</f>
        <v>0</v>
      </c>
      <c r="Q62" s="104">
        <f>SUMIFS('2 stopień 20_21'!$I$9:$I$761,'2 stopień 20_21'!$G$9:$G$761,"MEP.05.",'2 stopień 20_21'!$K$9:$K$761,"CKZ Dobrodzień")</f>
        <v>0</v>
      </c>
      <c r="R62" s="104">
        <f>SUMIFS('2 stopień 20_21'!$I$9:$I$761,'2 stopień 20_21'!$G$9:$G$761,"MEP.05.",'2 stopień 20_21'!$K$9:$K$761,"CKZ Głubczyce")</f>
        <v>0</v>
      </c>
      <c r="S62" s="104">
        <f>SUMIFS('2 stopień 20_21'!$I$9:$I$761,'2 stopień 20_21'!$G$9:$G$761,"MEP.05.",'2 stopień 20_21'!$K$9:$K$761,"CKZ Kędzierzyn Koźle")</f>
        <v>0</v>
      </c>
      <c r="T62" s="104">
        <f>SUMIFS('2 stopień 20_21'!$I$9:$I$761,'2 stopień 20_21'!$G$9:$G$761,"MEP.05.",'2 stopień 20_21'!$K$9:$K$761,"CKZ Kluczbork")</f>
        <v>0</v>
      </c>
      <c r="U62" s="104">
        <f>SUMIFS('2 stopień 20_21'!$I$9:$I$761,'2 stopień 20_21'!$G$9:$G$761,"MEP.05.",'2 stopień 20_21'!$K$9:$K$761,"CKZ Krotoszyn")</f>
        <v>0</v>
      </c>
      <c r="V62" s="104">
        <f>SUMIFS('2 stopień 20_21'!$I$9:$I$761,'2 stopień 20_21'!$G$9:$G$761,"MEP.05.",'2 stopień 20_21'!$K$9:$K$761,"CKZ Olkusz")</f>
        <v>0</v>
      </c>
      <c r="W62" s="104">
        <f>SUMIFS('2 stopień 20_21'!$I$9:$I$761,'2 stopień 20_21'!$G$9:$G$761,"MEP.05.",'2 stopień 20_21'!$K$9:$K$761,"CKZ Wschowa")</f>
        <v>0</v>
      </c>
      <c r="X62" s="104">
        <f>SUMIFS('2 stopień 20_21'!$I$9:$I$761,'2 stopień 20_21'!$G$9:$G$761,"MEP.05.",'2 stopień 20_21'!$K$9:$K$761,"CKZ Zielona Góra")</f>
        <v>1</v>
      </c>
      <c r="Y62" s="104">
        <f>SUMIFS('2 stopień 20_21'!$I$9:$I$761,'2 stopień 20_21'!$G$9:$G$761,"MEP.05.",'2 stopień 20_21'!$K$9:$K$761,"Rzemieślnicza Wałbrzych")</f>
        <v>0</v>
      </c>
      <c r="Z62" s="104">
        <f>SUMIFS('2 stopień 20_21'!$I$9:$I$761,'2 stopień 20_21'!$G$9:$G$761,"MEP.05.",'2 stopień 20_21'!$K$9:$K$761,"CKZ Mosina")</f>
        <v>0</v>
      </c>
      <c r="AA62" s="104">
        <f>SUMIFS('2 stopień 20_21'!$I$9:$I$761,'2 stopień 20_21'!$G$9:$G$761,"MEP.05.",'2 stopień 20_21'!$K$9:$K$761,"CKZ Słupsk")</f>
        <v>0</v>
      </c>
      <c r="AB62" s="104">
        <f>SUMIFS('2 stopień 20_21'!$I$9:$I$761,'2 stopień 20_21'!$G$9:$G$761,"MEP.05.",'2 stopień 20_21'!$K$9:$K$761,"CKZ Opole")</f>
        <v>0</v>
      </c>
      <c r="AC62" s="104">
        <f>SUMIFS('2 stopień 20_21'!$I$9:$I$761,'2 stopień 20_21'!$G$9:$G$761,"MEP.05.",'2 stopień 20_21'!$K$9:$K$761,"CKZ Wrocław")</f>
        <v>0</v>
      </c>
      <c r="AD62" s="104">
        <f>SUMIFS('2 stopień 20_21'!$I$9:$I$761,'2 stopień 20_21'!$G$9:$G$761,"MEP.05.",'2 stopień 20_21'!$K$9:$K$761,"Brzeg Dolny")</f>
        <v>0</v>
      </c>
      <c r="AE62" s="104">
        <f>SUMIFS('2 stopień 20_21'!$I$9:$I$761,'2 stopień 20_21'!$G$9:$G$761,"MEP.05.",'2 stopień 20_21'!$K$9:$K$761,"")</f>
        <v>0</v>
      </c>
      <c r="AF62" s="105">
        <f t="shared" si="0"/>
        <v>1</v>
      </c>
    </row>
    <row r="63" spans="2:32">
      <c r="B63" s="106" t="s">
        <v>632</v>
      </c>
      <c r="C63" s="107">
        <v>721104</v>
      </c>
      <c r="D63" s="107" t="s">
        <v>837</v>
      </c>
      <c r="E63" s="106" t="s">
        <v>836</v>
      </c>
      <c r="F63" s="103">
        <f>SUMIF('2 stopień 20_21'!G$9:G$761,"MTL.01.",'2 stopień 20_21'!I$9:I$761)</f>
        <v>0</v>
      </c>
      <c r="G63" s="104">
        <f>SUMIFS('2 stopień 20_21'!$I$9:$I$761,'2 stopień 20_21'!$G$9:$G$761,"MTL.01.",'2 stopień 20_21'!$K$9:$K$761,"CKZ Bielawa")</f>
        <v>0</v>
      </c>
      <c r="H63" s="104">
        <f>SUMIFS('2 stopień 20_21'!$I$9:$I$761,'2 stopień 20_21'!$G$9:$G$761,"MTL.01.",'2 stopień 20_21'!$K$9:$K$761,"GCKZ Głogów")</f>
        <v>0</v>
      </c>
      <c r="I63" s="104">
        <f>SUMIFS('2 stopień 20_21'!$I$9:$I$761,'2 stopień 20_21'!$G$9:$G$761,"MTL.01.",'2 stopień 20_21'!$K$9:$K$761,"CKZ Jawor")</f>
        <v>0</v>
      </c>
      <c r="J63" s="104">
        <f>SUMIFS('2 stopień 20_21'!$I$9:$I$761,'2 stopień 20_21'!$G$9:$G$761,"MTL.01.",'2 stopień 20_21'!$K$9:$K$761,"JCKZ Jelenia Góra")</f>
        <v>0</v>
      </c>
      <c r="K63" s="104">
        <f>SUMIFS('2 stopień 20_21'!$I$9:$I$761,'2 stopień 20_21'!$G$9:$G$761,"MTL.01.",'2 stopień 20_21'!$K$9:$K$761,"CKZ Kłodzko")</f>
        <v>0</v>
      </c>
      <c r="L63" s="104">
        <f>SUMIFS('2 stopień 20_21'!$I$9:$I$761,'2 stopień 20_21'!$G$9:$G$761,"MTL.01.",'2 stopień 20_21'!$K$9:$K$761,"CKZ Legnica")</f>
        <v>0</v>
      </c>
      <c r="M63" s="104">
        <f>SUMIFS('2 stopień 20_21'!$I$9:$I$761,'2 stopień 20_21'!$G$9:$G$761,"MTL.01.",'2 stopień 20_21'!$K$9:$K$761,"CKZ Oleśnica")</f>
        <v>0</v>
      </c>
      <c r="N63" s="104">
        <f>SUMIFS('2 stopień 20_21'!$I$9:$I$761,'2 stopień 20_21'!$G$9:$G$761,"MTL.01.",'2 stopień 20_21'!$K$9:$K$761,"CKZ Świdnica")</f>
        <v>0</v>
      </c>
      <c r="O63" s="104">
        <f>SUMIFS('2 stopień 20_21'!$I$9:$I$761,'2 stopień 20_21'!$G$9:$G$761,"MTL.01.",'2 stopień 20_21'!$K$9:$K$761,"CKZ Wołów")</f>
        <v>0</v>
      </c>
      <c r="P63" s="104">
        <f>SUMIFS('2 stopień 20_21'!$I$9:$I$761,'2 stopień 20_21'!$G$9:$G$761,"MTL.01.",'2 stopień 20_21'!$K$9:$K$761,"CKZ Ziębice")</f>
        <v>0</v>
      </c>
      <c r="Q63" s="104">
        <f>SUMIFS('2 stopień 20_21'!$I$9:$I$761,'2 stopień 20_21'!$G$9:$G$761,"MTL.01.",'2 stopień 20_21'!$K$9:$K$761,"CKZ Dobrodzień")</f>
        <v>0</v>
      </c>
      <c r="R63" s="104">
        <f>SUMIFS('2 stopień 20_21'!$I$9:$I$761,'2 stopień 20_21'!$G$9:$G$761,"MTL.01.",'2 stopień 20_21'!$K$9:$K$761,"CKZ Głubczyce")</f>
        <v>0</v>
      </c>
      <c r="S63" s="104">
        <f>SUMIFS('2 stopień 20_21'!$I$9:$I$761,'2 stopień 20_21'!$G$9:$G$761,"MTL.01.",'2 stopień 20_21'!$K$9:$K$761,"CKZ Kędzierzyn Koźle")</f>
        <v>0</v>
      </c>
      <c r="T63" s="104">
        <f>SUMIFS('2 stopień 20_21'!$I$9:$I$761,'2 stopień 20_21'!$G$9:$G$761,"MTL.01.",'2 stopień 20_21'!$K$9:$K$761,"CKZ Kluczbork")</f>
        <v>0</v>
      </c>
      <c r="U63" s="104">
        <f>SUMIFS('2 stopień 20_21'!$I$9:$I$761,'2 stopień 20_21'!$G$9:$G$761,"MTL.01.",'2 stopień 20_21'!$K$9:$K$761,"CKZ Krotoszyn")</f>
        <v>0</v>
      </c>
      <c r="V63" s="104">
        <f>SUMIFS('2 stopień 20_21'!$I$9:$I$761,'2 stopień 20_21'!$G$9:$G$761,"MTL.01.",'2 stopień 20_21'!$K$9:$K$761,"CKZ Olkusz")</f>
        <v>0</v>
      </c>
      <c r="W63" s="104">
        <f>SUMIFS('2 stopień 20_21'!$I$9:$I$761,'2 stopień 20_21'!$G$9:$G$761,"MTL.01.",'2 stopień 20_21'!$K$9:$K$761,"CKZ Wschowa")</f>
        <v>0</v>
      </c>
      <c r="X63" s="104">
        <f>SUMIFS('2 stopień 20_21'!$I$9:$I$761,'2 stopień 20_21'!$G$9:$G$761,"MTL.01.",'2 stopień 20_21'!$K$9:$K$761,"CKZ Zielona Góra")</f>
        <v>0</v>
      </c>
      <c r="Y63" s="104">
        <f>SUMIFS('2 stopień 20_21'!$I$9:$I$761,'2 stopień 20_21'!$G$9:$G$761,"MTL.01.",'2 stopień 20_21'!$K$9:$K$761,"Rzemieślnicza Wałbrzych")</f>
        <v>0</v>
      </c>
      <c r="Z63" s="104">
        <f>SUMIFS('2 stopień 20_21'!$I$9:$I$761,'2 stopień 20_21'!$G$9:$G$761,"MTL.01.",'2 stopień 20_21'!$K$9:$K$761,"CKZ Mosina")</f>
        <v>0</v>
      </c>
      <c r="AA63" s="104">
        <f>SUMIFS('2 stopień 20_21'!$I$9:$I$761,'2 stopień 20_21'!$G$9:$G$761,"MTL.01.",'2 stopień 20_21'!$K$9:$K$761,"CKZ Słupsk")</f>
        <v>0</v>
      </c>
      <c r="AB63" s="104">
        <f>SUMIFS('2 stopień 20_21'!$I$9:$I$761,'2 stopień 20_21'!$G$9:$G$761,"MTL.01.",'2 stopień 20_21'!$K$9:$K$761,"CKZ Opole")</f>
        <v>0</v>
      </c>
      <c r="AC63" s="104">
        <f>SUMIFS('2 stopień 20_21'!$I$9:$I$761,'2 stopień 20_21'!$G$9:$G$761,"MTL.01.",'2 stopień 20_21'!$K$9:$K$761,"CKZ Wrocław")</f>
        <v>0</v>
      </c>
      <c r="AD63" s="104">
        <f>SUMIFS('2 stopień 20_21'!$I$9:$I$761,'2 stopień 20_21'!$G$9:$G$761,"MTL.01.",'2 stopień 20_21'!$K$9:$K$761,"Brzeg Dolny")</f>
        <v>0</v>
      </c>
      <c r="AE63" s="104">
        <f>SUMIFS('2 stopień 20_21'!$I$9:$I$761,'2 stopień 20_21'!$G$9:$G$761,"MTL.01.",'2 stopień 20_21'!$K$9:$K$761,"")</f>
        <v>0</v>
      </c>
      <c r="AF63" s="105">
        <f t="shared" si="0"/>
        <v>0</v>
      </c>
    </row>
    <row r="64" spans="2:32">
      <c r="B64" s="106" t="s">
        <v>633</v>
      </c>
      <c r="C64" s="107">
        <v>812107</v>
      </c>
      <c r="D64" s="107" t="s">
        <v>835</v>
      </c>
      <c r="E64" s="106" t="s">
        <v>834</v>
      </c>
      <c r="F64" s="103">
        <f>SUMIF('2 stopień 20_21'!G$9:G$761,"MTL.02.",'2 stopień 20_21'!I$9:I$761)</f>
        <v>0</v>
      </c>
      <c r="G64" s="104">
        <f>SUMIFS('2 stopień 20_21'!$I$9:$I$761,'2 stopień 20_21'!$G$9:$G$761,"MTL.02.",'2 stopień 20_21'!$K$9:$K$761,"CKZ Bielawa")</f>
        <v>0</v>
      </c>
      <c r="H64" s="104">
        <f>SUMIFS('2 stopień 20_21'!$I$9:$I$761,'2 stopień 20_21'!$G$9:$G$761,"MTL.02.",'2 stopień 20_21'!$K$9:$K$761,"GCKZ Głogów")</f>
        <v>0</v>
      </c>
      <c r="I64" s="104">
        <f>SUMIFS('2 stopień 20_21'!$I$9:$I$761,'2 stopień 20_21'!$G$9:$G$761,"MTL.02.",'2 stopień 20_21'!$K$9:$K$761,"CKZ Jawor")</f>
        <v>0</v>
      </c>
      <c r="J64" s="104">
        <f>SUMIFS('2 stopień 20_21'!$I$9:$I$761,'2 stopień 20_21'!$G$9:$G$761,"MTL.02.",'2 stopień 20_21'!$K$9:$K$761,"JCKZ Jelenia Góra")</f>
        <v>0</v>
      </c>
      <c r="K64" s="104">
        <f>SUMIFS('2 stopień 20_21'!$I$9:$I$761,'2 stopień 20_21'!$G$9:$G$761,"MTL.02.",'2 stopień 20_21'!$K$9:$K$761,"CKZ Kłodzko")</f>
        <v>0</v>
      </c>
      <c r="L64" s="104">
        <f>SUMIFS('2 stopień 20_21'!$I$9:$I$761,'2 stopień 20_21'!$G$9:$G$761,"MTL.02.",'2 stopień 20_21'!$K$9:$K$761,"CKZ Legnica")</f>
        <v>0</v>
      </c>
      <c r="M64" s="104">
        <f>SUMIFS('2 stopień 20_21'!$I$9:$I$761,'2 stopień 20_21'!$G$9:$G$761,"MTL.02.",'2 stopień 20_21'!$K$9:$K$761,"CKZ Oleśnica")</f>
        <v>0</v>
      </c>
      <c r="N64" s="104">
        <f>SUMIFS('2 stopień 20_21'!$I$9:$I$761,'2 stopień 20_21'!$G$9:$G$761,"MTL.02.",'2 stopień 20_21'!$K$9:$K$761,"CKZ Świdnica")</f>
        <v>0</v>
      </c>
      <c r="O64" s="104">
        <f>SUMIFS('2 stopień 20_21'!$I$9:$I$761,'2 stopień 20_21'!$G$9:$G$761,"MTL.02.",'2 stopień 20_21'!$K$9:$K$761,"CKZ Wołów")</f>
        <v>0</v>
      </c>
      <c r="P64" s="104">
        <f>SUMIFS('2 stopień 20_21'!$I$9:$I$761,'2 stopień 20_21'!$G$9:$G$761,"MTL.02.",'2 stopień 20_21'!$K$9:$K$761,"CKZ Ziębice")</f>
        <v>0</v>
      </c>
      <c r="Q64" s="104">
        <f>SUMIFS('2 stopień 20_21'!$I$9:$I$761,'2 stopień 20_21'!$G$9:$G$761,"MTL.02.",'2 stopień 20_21'!$K$9:$K$761,"CKZ Dobrodzień")</f>
        <v>0</v>
      </c>
      <c r="R64" s="104">
        <f>SUMIFS('2 stopień 20_21'!$I$9:$I$761,'2 stopień 20_21'!$G$9:$G$761,"MTL.02.",'2 stopień 20_21'!$K$9:$K$761,"CKZ Głubczyce")</f>
        <v>0</v>
      </c>
      <c r="S64" s="104">
        <f>SUMIFS('2 stopień 20_21'!$I$9:$I$761,'2 stopień 20_21'!$G$9:$G$761,"MTL.02.",'2 stopień 20_21'!$K$9:$K$761,"CKZ Kędzierzyn Koźle")</f>
        <v>0</v>
      </c>
      <c r="T64" s="104">
        <f>SUMIFS('2 stopień 20_21'!$I$9:$I$761,'2 stopień 20_21'!$G$9:$G$761,"MTL.02.",'2 stopień 20_21'!$K$9:$K$761,"CKZ Kluczbork")</f>
        <v>0</v>
      </c>
      <c r="U64" s="104">
        <f>SUMIFS('2 stopień 20_21'!$I$9:$I$761,'2 stopień 20_21'!$G$9:$G$761,"MTL.02.",'2 stopień 20_21'!$K$9:$K$761,"CKZ Krotoszyn")</f>
        <v>0</v>
      </c>
      <c r="V64" s="104">
        <f>SUMIFS('2 stopień 20_21'!$I$9:$I$761,'2 stopień 20_21'!$G$9:$G$761,"MTL.02.",'2 stopień 20_21'!$K$9:$K$761,"CKZ Olkusz")</f>
        <v>0</v>
      </c>
      <c r="W64" s="104">
        <f>SUMIFS('2 stopień 20_21'!$I$9:$I$761,'2 stopień 20_21'!$G$9:$G$761,"MTL.02.",'2 stopień 20_21'!$K$9:$K$761,"CKZ Wschowa")</f>
        <v>0</v>
      </c>
      <c r="X64" s="104">
        <f>SUMIFS('2 stopień 20_21'!$I$9:$I$761,'2 stopień 20_21'!$G$9:$G$761,"MTL.02.",'2 stopień 20_21'!$K$9:$K$761,"CKZ Zielona Góra")</f>
        <v>0</v>
      </c>
      <c r="Y64" s="104">
        <f>SUMIFS('2 stopień 20_21'!$I$9:$I$761,'2 stopień 20_21'!$G$9:$G$761,"MTL.02.",'2 stopień 20_21'!$K$9:$K$761,"Rzemieślnicza Wałbrzych")</f>
        <v>0</v>
      </c>
      <c r="Z64" s="104">
        <f>SUMIFS('2 stopień 20_21'!$I$9:$I$761,'2 stopień 20_21'!$G$9:$G$761,"MTL.02.",'2 stopień 20_21'!$K$9:$K$761,"CKZ Mosina")</f>
        <v>0</v>
      </c>
      <c r="AA64" s="104">
        <f>SUMIFS('2 stopień 20_21'!$I$9:$I$761,'2 stopień 20_21'!$G$9:$G$761,"MTL.02.",'2 stopień 20_21'!$K$9:$K$761,"CKZ Słupsk")</f>
        <v>0</v>
      </c>
      <c r="AB64" s="104">
        <f>SUMIFS('2 stopień 20_21'!$I$9:$I$761,'2 stopień 20_21'!$G$9:$G$761,"MTL.02.",'2 stopień 20_21'!$K$9:$K$761,"CKZ Opole")</f>
        <v>0</v>
      </c>
      <c r="AC64" s="104">
        <f>SUMIFS('2 stopień 20_21'!$I$9:$I$761,'2 stopień 20_21'!$G$9:$G$761,"MTL.02.",'2 stopień 20_21'!$K$9:$K$761,"CKZ Wrocław")</f>
        <v>0</v>
      </c>
      <c r="AD64" s="104">
        <f>SUMIFS('2 stopień 20_21'!$I$9:$I$761,'2 stopień 20_21'!$G$9:$G$761,"MTL.02.",'2 stopień 20_21'!$K$9:$K$761,"Brzeg Dolny")</f>
        <v>0</v>
      </c>
      <c r="AE64" s="104">
        <f>SUMIFS('2 stopień 20_21'!$I$9:$I$761,'2 stopień 20_21'!$G$9:$G$761,"MTL.02.",'2 stopień 20_21'!$K$9:$K$761,"")</f>
        <v>0</v>
      </c>
      <c r="AF64" s="105">
        <f t="shared" si="0"/>
        <v>0</v>
      </c>
    </row>
    <row r="65" spans="2:32">
      <c r="B65" s="106" t="s">
        <v>634</v>
      </c>
      <c r="C65" s="107">
        <v>812122</v>
      </c>
      <c r="D65" s="107" t="s">
        <v>833</v>
      </c>
      <c r="E65" s="106" t="s">
        <v>832</v>
      </c>
      <c r="F65" s="103">
        <f>SUMIF('2 stopień 20_21'!G$9:G$761,"MTL.03.",'2 stopień 20_21'!I$9:I$761)</f>
        <v>0</v>
      </c>
      <c r="G65" s="104">
        <f>SUMIFS('2 stopień 20_21'!$I$9:$I$761,'2 stopień 20_21'!$G$9:$G$761,"MTL.03.",'2 stopień 20_21'!$K$9:$K$761,"CKZ Bielawa")</f>
        <v>0</v>
      </c>
      <c r="H65" s="104">
        <f>SUMIFS('2 stopień 20_21'!$I$9:$I$761,'2 stopień 20_21'!$G$9:$G$761,"MTL.03.",'2 stopień 20_21'!$K$9:$K$761,"GCKZ Głogów")</f>
        <v>0</v>
      </c>
      <c r="I65" s="104">
        <f>SUMIFS('2 stopień 20_21'!$I$9:$I$761,'2 stopień 20_21'!$G$9:$G$761,"MTL.03.",'2 stopień 20_21'!$K$9:$K$761,"CKZ Jawor")</f>
        <v>0</v>
      </c>
      <c r="J65" s="104">
        <f>SUMIFS('2 stopień 20_21'!$I$9:$I$761,'2 stopień 20_21'!$G$9:$G$761,"MTL.03.",'2 stopień 20_21'!$K$9:$K$761,"JCKZ Jelenia Góra")</f>
        <v>0</v>
      </c>
      <c r="K65" s="104">
        <f>SUMIFS('2 stopień 20_21'!$I$9:$I$761,'2 stopień 20_21'!$G$9:$G$761,"MTL.03.",'2 stopień 20_21'!$K$9:$K$761,"CKZ Kłodzko")</f>
        <v>0</v>
      </c>
      <c r="L65" s="104">
        <f>SUMIFS('2 stopień 20_21'!$I$9:$I$761,'2 stopień 20_21'!$G$9:$G$761,"MTL.03.",'2 stopień 20_21'!$K$9:$K$761,"CKZ Legnica")</f>
        <v>0</v>
      </c>
      <c r="M65" s="104">
        <f>SUMIFS('2 stopień 20_21'!$I$9:$I$761,'2 stopień 20_21'!$G$9:$G$761,"MTL.03.",'2 stopień 20_21'!$K$9:$K$761,"CKZ Oleśnica")</f>
        <v>0</v>
      </c>
      <c r="N65" s="104">
        <f>SUMIFS('2 stopień 20_21'!$I$9:$I$761,'2 stopień 20_21'!$G$9:$G$761,"MTL.03.",'2 stopień 20_21'!$K$9:$K$761,"CKZ Świdnica")</f>
        <v>0</v>
      </c>
      <c r="O65" s="104">
        <f>SUMIFS('2 stopień 20_21'!$I$9:$I$761,'2 stopień 20_21'!$G$9:$G$761,"MTL.03.",'2 stopień 20_21'!$K$9:$K$761,"CKZ Wołów")</f>
        <v>0</v>
      </c>
      <c r="P65" s="104">
        <f>SUMIFS('2 stopień 20_21'!$I$9:$I$761,'2 stopień 20_21'!$G$9:$G$761,"MTL.03.",'2 stopień 20_21'!$K$9:$K$761,"CKZ Ziębice")</f>
        <v>0</v>
      </c>
      <c r="Q65" s="104">
        <f>SUMIFS('2 stopień 20_21'!$I$9:$I$761,'2 stopień 20_21'!$G$9:$G$761,"MTL.03.",'2 stopień 20_21'!$K$9:$K$761,"CKZ Dobrodzień")</f>
        <v>0</v>
      </c>
      <c r="R65" s="104">
        <f>SUMIFS('2 stopień 20_21'!$I$9:$I$761,'2 stopień 20_21'!$G$9:$G$761,"MTL.03.",'2 stopień 20_21'!$K$9:$K$761,"CKZ Głubczyce")</f>
        <v>0</v>
      </c>
      <c r="S65" s="104">
        <f>SUMIFS('2 stopień 20_21'!$I$9:$I$761,'2 stopień 20_21'!$G$9:$G$761,"MTL.03.",'2 stopień 20_21'!$K$9:$K$761,"CKZ Kędzierzyn Koźle")</f>
        <v>0</v>
      </c>
      <c r="T65" s="104">
        <f>SUMIFS('2 stopień 20_21'!$I$9:$I$761,'2 stopień 20_21'!$G$9:$G$761,"MTL.03.",'2 stopień 20_21'!$K$9:$K$761,"CKZ Kluczbork")</f>
        <v>0</v>
      </c>
      <c r="U65" s="104">
        <f>SUMIFS('2 stopień 20_21'!$I$9:$I$761,'2 stopień 20_21'!$G$9:$G$761,"MTL.03.",'2 stopień 20_21'!$K$9:$K$761,"CKZ Krotoszyn")</f>
        <v>0</v>
      </c>
      <c r="V65" s="104">
        <f>SUMIFS('2 stopień 20_21'!$I$9:$I$761,'2 stopień 20_21'!$G$9:$G$761,"MTL.03.",'2 stopień 20_21'!$K$9:$K$761,"CKZ Olkusz")</f>
        <v>0</v>
      </c>
      <c r="W65" s="104">
        <f>SUMIFS('2 stopień 20_21'!$I$9:$I$761,'2 stopień 20_21'!$G$9:$G$761,"MTL.03.",'2 stopień 20_21'!$K$9:$K$761,"CKZ Wschowa")</f>
        <v>0</v>
      </c>
      <c r="X65" s="104">
        <f>SUMIFS('2 stopień 20_21'!$I$9:$I$761,'2 stopień 20_21'!$G$9:$G$761,"MTL.03.",'2 stopień 20_21'!$K$9:$K$761,"CKZ Zielona Góra")</f>
        <v>0</v>
      </c>
      <c r="Y65" s="104">
        <f>SUMIFS('2 stopień 20_21'!$I$9:$I$761,'2 stopień 20_21'!$G$9:$G$761,"MTL.03.",'2 stopień 20_21'!$K$9:$K$761,"Rzemieślnicza Wałbrzych")</f>
        <v>0</v>
      </c>
      <c r="Z65" s="104">
        <f>SUMIFS('2 stopień 20_21'!$I$9:$I$761,'2 stopień 20_21'!$G$9:$G$761,"MTL.03.",'2 stopień 20_21'!$K$9:$K$761,"CKZ Mosina")</f>
        <v>0</v>
      </c>
      <c r="AA65" s="104">
        <f>SUMIFS('2 stopień 20_21'!$I$9:$I$761,'2 stopień 20_21'!$G$9:$G$761,"MTL.03.",'2 stopień 20_21'!$K$9:$K$761,"CKZ Słupsk")</f>
        <v>0</v>
      </c>
      <c r="AB65" s="104">
        <f>SUMIFS('2 stopień 20_21'!$I$9:$I$761,'2 stopień 20_21'!$G$9:$G$761,"MTL.03.",'2 stopień 20_21'!$K$9:$K$761,"CKZ Opole")</f>
        <v>0</v>
      </c>
      <c r="AC65" s="104">
        <f>SUMIFS('2 stopień 20_21'!$I$9:$I$761,'2 stopień 20_21'!$G$9:$G$761,"MTL.03.",'2 stopień 20_21'!$K$9:$K$761,"CKZ Wrocław")</f>
        <v>0</v>
      </c>
      <c r="AD65" s="104">
        <f>SUMIFS('2 stopień 20_21'!$I$9:$I$761,'2 stopień 20_21'!$G$9:$G$761,"MTL.03.",'2 stopień 20_21'!$K$9:$K$761,"Brzeg Dolny")</f>
        <v>0</v>
      </c>
      <c r="AE65" s="104">
        <f>SUMIFS('2 stopień 20_21'!$I$9:$I$761,'2 stopień 20_21'!$G$9:$G$761,"MTL.03.",'2 stopień 20_21'!$K$9:$K$761,"")</f>
        <v>0</v>
      </c>
      <c r="AF65" s="105">
        <f t="shared" si="0"/>
        <v>0</v>
      </c>
    </row>
    <row r="66" spans="2:32">
      <c r="B66" s="106" t="s">
        <v>85</v>
      </c>
      <c r="C66" s="107">
        <v>721306</v>
      </c>
      <c r="D66" s="107" t="s">
        <v>831</v>
      </c>
      <c r="E66" s="106" t="s">
        <v>830</v>
      </c>
      <c r="F66" s="103">
        <f>SUMIF('2 stopień 20_21'!G$9:G$761,"MOT.01.",'2 stopień 20_21'!I$9:I$761)</f>
        <v>29</v>
      </c>
      <c r="G66" s="104">
        <f>SUMIFS('2 stopień 20_21'!$I$9:$I$761,'2 stopień 20_21'!$G$9:$G$761,"MOT.01.",'2 stopień 20_21'!$K$9:$K$761,"CKZ Bielawa")</f>
        <v>0</v>
      </c>
      <c r="H66" s="104">
        <f>SUMIFS('2 stopień 20_21'!$I$9:$I$761,'2 stopień 20_21'!$G$9:$G$761,"MOT.01.",'2 stopień 20_21'!$K$9:$K$761,"GCKZ Głogów")</f>
        <v>0</v>
      </c>
      <c r="I66" s="104">
        <f>SUMIFS('2 stopień 20_21'!$I$9:$I$761,'2 stopień 20_21'!$G$9:$G$761,"MOT.01.",'2 stopień 20_21'!$K$9:$K$761,"CKZ Jawor")</f>
        <v>0</v>
      </c>
      <c r="J66" s="104">
        <f>SUMIFS('2 stopień 20_21'!$I$9:$I$761,'2 stopień 20_21'!$G$9:$G$761,"MOT.01.",'2 stopień 20_21'!$K$9:$K$761,"JCKZ Jelenia Góra")</f>
        <v>0</v>
      </c>
      <c r="K66" s="104">
        <f>SUMIFS('2 stopień 20_21'!$I$9:$I$761,'2 stopień 20_21'!$G$9:$G$761,"MOT.01.",'2 stopień 20_21'!$K$9:$K$761,"CKZ Kłodzko")</f>
        <v>0</v>
      </c>
      <c r="L66" s="104">
        <f>SUMIFS('2 stopień 20_21'!$I$9:$I$761,'2 stopień 20_21'!$G$9:$G$761,"MOT.01.",'2 stopień 20_21'!$K$9:$K$761,"CKZ Legnica")</f>
        <v>0</v>
      </c>
      <c r="M66" s="104">
        <f>SUMIFS('2 stopień 20_21'!$I$9:$I$761,'2 stopień 20_21'!$G$9:$G$761,"MOT.01.",'2 stopień 20_21'!$K$9:$K$761,"CKZ Oleśnica")</f>
        <v>0</v>
      </c>
      <c r="N66" s="104">
        <f>SUMIFS('2 stopień 20_21'!$I$9:$I$761,'2 stopień 20_21'!$G$9:$G$761,"MOT.01.",'2 stopień 20_21'!$K$9:$K$761,"CKZ Świdnica")</f>
        <v>26</v>
      </c>
      <c r="O66" s="104">
        <f>SUMIFS('2 stopień 20_21'!$I$9:$I$761,'2 stopień 20_21'!$G$9:$G$761,"MOT.01.",'2 stopień 20_21'!$K$9:$K$761,"CKZ Wołów")</f>
        <v>0</v>
      </c>
      <c r="P66" s="104">
        <f>SUMIFS('2 stopień 20_21'!$I$9:$I$761,'2 stopień 20_21'!$G$9:$G$761,"MOT.01.",'2 stopień 20_21'!$K$9:$K$761,"CKZ Ziębice")</f>
        <v>0</v>
      </c>
      <c r="Q66" s="104">
        <f>SUMIFS('2 stopień 20_21'!$I$9:$I$761,'2 stopień 20_21'!$G$9:$G$761,"MOT.01.",'2 stopień 20_21'!$K$9:$K$761,"CKZ Dobrodzień")</f>
        <v>0</v>
      </c>
      <c r="R66" s="104">
        <f>SUMIFS('2 stopień 20_21'!$I$9:$I$761,'2 stopień 20_21'!$G$9:$G$761,"MOT.01.",'2 stopień 20_21'!$K$9:$K$761,"CKZ Głubczyce")</f>
        <v>0</v>
      </c>
      <c r="S66" s="104">
        <f>SUMIFS('2 stopień 20_21'!$I$9:$I$761,'2 stopień 20_21'!$G$9:$G$761,"MOT.01.",'2 stopień 20_21'!$K$9:$K$761,"CKZ Kędzierzyn Koźle")</f>
        <v>0</v>
      </c>
      <c r="T66" s="104">
        <f>SUMIFS('2 stopień 20_21'!$I$9:$I$761,'2 stopień 20_21'!$G$9:$G$761,"MOT.01.",'2 stopień 20_21'!$K$9:$K$761,"CKZ Kluczbork")</f>
        <v>0</v>
      </c>
      <c r="U66" s="104">
        <f>SUMIFS('2 stopień 20_21'!$I$9:$I$761,'2 stopień 20_21'!$G$9:$G$761,"MOT.01.",'2 stopień 20_21'!$K$9:$K$761,"CKZ Krotoszyn")</f>
        <v>0</v>
      </c>
      <c r="V66" s="104">
        <f>SUMIFS('2 stopień 20_21'!$I$9:$I$761,'2 stopień 20_21'!$G$9:$G$761,"MOT.01.",'2 stopień 20_21'!$K$9:$K$761,"CKZ Olkusz")</f>
        <v>0</v>
      </c>
      <c r="W66" s="104">
        <f>SUMIFS('2 stopień 20_21'!$I$9:$I$761,'2 stopień 20_21'!$G$9:$G$761,"MOT.01.",'2 stopień 20_21'!$K$9:$K$761,"CKZ Wschowa")</f>
        <v>3</v>
      </c>
      <c r="X66" s="104">
        <f>SUMIFS('2 stopień 20_21'!$I$9:$I$761,'2 stopień 20_21'!$G$9:$G$761,"MOT.01.",'2 stopień 20_21'!$K$9:$K$761,"CKZ Zielona Góra")</f>
        <v>0</v>
      </c>
      <c r="Y66" s="104">
        <f>SUMIFS('2 stopień 20_21'!$I$9:$I$761,'2 stopień 20_21'!$G$9:$G$761,"MOT.01.",'2 stopień 20_21'!$K$9:$K$761,"Rzemieślnicza Wałbrzych")</f>
        <v>0</v>
      </c>
      <c r="Z66" s="104">
        <f>SUMIFS('2 stopień 20_21'!$I$9:$I$761,'2 stopień 20_21'!$G$9:$G$761,"MOT.01.",'2 stopień 20_21'!$K$9:$K$761,"CKZ Mosina")</f>
        <v>0</v>
      </c>
      <c r="AA66" s="104">
        <f>SUMIFS('2 stopień 20_21'!$I$9:$I$761,'2 stopień 20_21'!$G$9:$G$761,"MOT.01.",'2 stopień 20_21'!$K$9:$K$761,"CKZ Słupsk")</f>
        <v>0</v>
      </c>
      <c r="AB66" s="104">
        <f>SUMIFS('2 stopień 20_21'!$I$9:$I$761,'2 stopień 20_21'!$G$9:$G$761,"MOT.01.",'2 stopień 20_21'!$K$9:$K$761,"CKZ Opole")</f>
        <v>0</v>
      </c>
      <c r="AC66" s="104">
        <f>SUMIFS('2 stopień 20_21'!$I$9:$I$761,'2 stopień 20_21'!$G$9:$G$761,"MOT.01.",'2 stopień 20_21'!$K$9:$K$761,"CKZ Wrocław")</f>
        <v>0</v>
      </c>
      <c r="AD66" s="104">
        <f>SUMIFS('2 stopień 20_21'!$I$9:$I$761,'2 stopień 20_21'!$G$9:$G$761,"MOT.01.",'2 stopień 20_21'!$K$9:$K$761,"Brzeg Dolny")</f>
        <v>0</v>
      </c>
      <c r="AE66" s="104">
        <f>SUMIFS('2 stopień 20_21'!$I$9:$I$761,'2 stopień 20_21'!$G$9:$G$761,"MOT.01.",'2 stopień 20_21'!$K$9:$K$761,"")</f>
        <v>0</v>
      </c>
      <c r="AF66" s="105">
        <f t="shared" si="0"/>
        <v>29</v>
      </c>
    </row>
    <row r="67" spans="2:32" ht="13.5" customHeight="1">
      <c r="B67" s="106" t="s">
        <v>78</v>
      </c>
      <c r="C67" s="107">
        <v>741203</v>
      </c>
      <c r="D67" s="107" t="s">
        <v>829</v>
      </c>
      <c r="E67" s="106" t="s">
        <v>828</v>
      </c>
      <c r="F67" s="103">
        <f>SUMIF('2 stopień 20_21'!G$9:G$761,"MOT.02.",'2 stopień 20_21'!I$9:I$761)</f>
        <v>51</v>
      </c>
      <c r="G67" s="104">
        <f>SUMIFS('2 stopień 20_21'!$I$9:$I$761,'2 stopień 20_21'!$G$9:$G$761,"MOT.02.",'2 stopień 20_21'!$K$9:$K$761,"CKZ Bielawa")</f>
        <v>0</v>
      </c>
      <c r="H67" s="104">
        <f>SUMIFS('2 stopień 20_21'!$I$9:$I$761,'2 stopień 20_21'!$G$9:$G$761,"MOT.02.",'2 stopień 20_21'!$K$9:$K$761,"GCKZ Głogów")</f>
        <v>0</v>
      </c>
      <c r="I67" s="104">
        <f>SUMIFS('2 stopień 20_21'!$I$9:$I$761,'2 stopień 20_21'!$G$9:$G$761,"MOT.02.",'2 stopień 20_21'!$K$9:$K$761,"CKZ Jawor")</f>
        <v>0</v>
      </c>
      <c r="J67" s="104">
        <f>SUMIFS('2 stopień 20_21'!$I$9:$I$761,'2 stopień 20_21'!$G$9:$G$761,"MOT.02.",'2 stopień 20_21'!$K$9:$K$761,"JCKZ Jelenia Góra")</f>
        <v>0</v>
      </c>
      <c r="K67" s="104">
        <f>SUMIFS('2 stopień 20_21'!$I$9:$I$761,'2 stopień 20_21'!$G$9:$G$761,"MOT.02.",'2 stopień 20_21'!$K$9:$K$761,"CKZ Kłodzko")</f>
        <v>0</v>
      </c>
      <c r="L67" s="104">
        <f>SUMIFS('2 stopień 20_21'!$I$9:$I$761,'2 stopień 20_21'!$G$9:$G$761,"MOT.02.",'2 stopień 20_21'!$K$9:$K$761,"CKZ Legnica")</f>
        <v>0</v>
      </c>
      <c r="M67" s="104">
        <f>SUMIFS('2 stopień 20_21'!$I$9:$I$761,'2 stopień 20_21'!$G$9:$G$761,"MOT.02.",'2 stopień 20_21'!$K$9:$K$761,"CKZ Oleśnica")</f>
        <v>0</v>
      </c>
      <c r="N67" s="104">
        <f>SUMIFS('2 stopień 20_21'!$I$9:$I$761,'2 stopień 20_21'!$G$9:$G$761,"MOT.02.",'2 stopień 20_21'!$K$9:$K$761,"CKZ Świdnica")</f>
        <v>41</v>
      </c>
      <c r="O67" s="104">
        <f>SUMIFS('2 stopień 20_21'!$I$9:$I$761,'2 stopień 20_21'!$G$9:$G$761,"MOT.02.",'2 stopień 20_21'!$K$9:$K$761,"CKZ Wołów")</f>
        <v>5</v>
      </c>
      <c r="P67" s="104">
        <f>SUMIFS('2 stopień 20_21'!$I$9:$I$761,'2 stopień 20_21'!$G$9:$G$761,"MOT.02.",'2 stopień 20_21'!$K$9:$K$761,"CKZ Ziębice")</f>
        <v>0</v>
      </c>
      <c r="Q67" s="104">
        <f>SUMIFS('2 stopień 20_21'!$I$9:$I$761,'2 stopień 20_21'!$G$9:$G$761,"MOT.02.",'2 stopień 20_21'!$K$9:$K$761,"CKZ Dobrodzień")</f>
        <v>0</v>
      </c>
      <c r="R67" s="104">
        <f>SUMIFS('2 stopień 20_21'!$I$9:$I$761,'2 stopień 20_21'!$G$9:$G$761,"MOT.02.",'2 stopień 20_21'!$K$9:$K$761,"CKZ Głubczyce")</f>
        <v>0</v>
      </c>
      <c r="S67" s="104">
        <f>SUMIFS('2 stopień 20_21'!$I$9:$I$761,'2 stopień 20_21'!$G$9:$G$761,"MOT.02.",'2 stopień 20_21'!$K$9:$K$761,"CKZ Kędzierzyn Koźle")</f>
        <v>0</v>
      </c>
      <c r="T67" s="104">
        <f>SUMIFS('2 stopień 20_21'!$I$9:$I$761,'2 stopień 20_21'!$G$9:$G$761,"MOT.02.",'2 stopień 20_21'!$K$9:$K$761,"CKZ Kluczbork")</f>
        <v>0</v>
      </c>
      <c r="U67" s="104">
        <f>SUMIFS('2 stopień 20_21'!$I$9:$I$761,'2 stopień 20_21'!$G$9:$G$761,"MOT.02.",'2 stopień 20_21'!$K$9:$K$761,"CKZ Krotoszyn")</f>
        <v>1</v>
      </c>
      <c r="V67" s="104">
        <f>SUMIFS('2 stopień 20_21'!$I$9:$I$761,'2 stopień 20_21'!$G$9:$G$761,"MOT.02.",'2 stopień 20_21'!$K$9:$K$761,"CKZ Olkusz")</f>
        <v>0</v>
      </c>
      <c r="W67" s="104">
        <f>SUMIFS('2 stopień 20_21'!$I$9:$I$761,'2 stopień 20_21'!$G$9:$G$761,"MOT.02.",'2 stopień 20_21'!$K$9:$K$761,"CKZ Wschowa")</f>
        <v>4</v>
      </c>
      <c r="X67" s="104">
        <f>SUMIFS('2 stopień 20_21'!$I$9:$I$761,'2 stopień 20_21'!$G$9:$G$761,"MOT.02.",'2 stopień 20_21'!$K$9:$K$761,"CKZ Zielona Góra")</f>
        <v>0</v>
      </c>
      <c r="Y67" s="104">
        <f>SUMIFS('2 stopień 20_21'!$I$9:$I$761,'2 stopień 20_21'!$G$9:$G$761,"MOT.02.",'2 stopień 20_21'!$K$9:$K$761,"Rzemieślnicza Wałbrzych")</f>
        <v>0</v>
      </c>
      <c r="Z67" s="104">
        <f>SUMIFS('2 stopień 20_21'!$I$9:$I$761,'2 stopień 20_21'!$G$9:$G$761,"MOT.02.",'2 stopień 20_21'!$K$9:$K$761,"CKZ Mosina")</f>
        <v>0</v>
      </c>
      <c r="AA67" s="104">
        <f>SUMIFS('2 stopień 20_21'!$I$9:$I$761,'2 stopień 20_21'!$G$9:$G$761,"MOT.02.",'2 stopień 20_21'!$K$9:$K$761,"CKZ Słupsk")</f>
        <v>0</v>
      </c>
      <c r="AB67" s="104">
        <f>SUMIFS('2 stopień 20_21'!$I$9:$I$761,'2 stopień 20_21'!$G$9:$G$761,"MOT.02.",'2 stopień 20_21'!$K$9:$K$761,"CKZ Opole")</f>
        <v>0</v>
      </c>
      <c r="AC67" s="104">
        <f>SUMIFS('2 stopień 20_21'!$I$9:$I$761,'2 stopień 20_21'!$G$9:$G$761,"MOT.02.",'2 stopień 20_21'!$K$9:$K$761,"CKZ Wrocław")</f>
        <v>0</v>
      </c>
      <c r="AD67" s="104">
        <f>SUMIFS('2 stopień 20_21'!$I$9:$I$761,'2 stopień 20_21'!$G$9:$G$761,"MOT.02.",'2 stopień 20_21'!$K$9:$K$761,"Brzeg Dolny")</f>
        <v>0</v>
      </c>
      <c r="AE67" s="104">
        <f>SUMIFS('2 stopień 20_21'!$I$9:$I$761,'2 stopień 20_21'!$G$9:$G$761,"MOT.02.",'2 stopień 20_21'!$K$9:$K$761,"")</f>
        <v>0</v>
      </c>
      <c r="AF67" s="105">
        <f t="shared" si="0"/>
        <v>51</v>
      </c>
    </row>
    <row r="68" spans="2:32">
      <c r="B68" s="106" t="s">
        <v>240</v>
      </c>
      <c r="C68" s="107">
        <v>713203</v>
      </c>
      <c r="D68" s="107" t="s">
        <v>827</v>
      </c>
      <c r="E68" s="106" t="s">
        <v>826</v>
      </c>
      <c r="F68" s="103">
        <f>SUMIF('2 stopień 20_21'!G$9:G$761,"MOT.03.",'2 stopień 20_21'!I$9:I$761)</f>
        <v>59</v>
      </c>
      <c r="G68" s="104">
        <f>SUMIFS('2 stopień 20_21'!$I$9:$I$761,'2 stopień 20_21'!$G$9:$G$761,"MOT.03.",'2 stopień 20_21'!$K$9:$K$761,"CKZ Bielawa")</f>
        <v>0</v>
      </c>
      <c r="H68" s="104">
        <f>SUMIFS('2 stopień 20_21'!$I$9:$I$761,'2 stopień 20_21'!$G$9:$G$761,"MOT.03.",'2 stopień 20_21'!$K$9:$K$761,"GCKZ Głogów")</f>
        <v>0</v>
      </c>
      <c r="I68" s="104">
        <f>SUMIFS('2 stopień 20_21'!$I$9:$I$761,'2 stopień 20_21'!$G$9:$G$761,"MOT.03.",'2 stopień 20_21'!$K$9:$K$761,"CKZ Jawor")</f>
        <v>0</v>
      </c>
      <c r="J68" s="104">
        <f>SUMIFS('2 stopień 20_21'!$I$9:$I$761,'2 stopień 20_21'!$G$9:$G$761,"MOT.03.",'2 stopień 20_21'!$K$9:$K$761,"JCKZ Jelenia Góra")</f>
        <v>0</v>
      </c>
      <c r="K68" s="104">
        <f>SUMIFS('2 stopień 20_21'!$I$9:$I$761,'2 stopień 20_21'!$G$9:$G$761,"MOT.03.",'2 stopień 20_21'!$K$9:$K$761,"CKZ Kłodzko")</f>
        <v>0</v>
      </c>
      <c r="L68" s="104">
        <f>SUMIFS('2 stopień 20_21'!$I$9:$I$761,'2 stopień 20_21'!$G$9:$G$761,"MOT.03.",'2 stopień 20_21'!$K$9:$K$761,"CKZ Legnica")</f>
        <v>0</v>
      </c>
      <c r="M68" s="104">
        <f>SUMIFS('2 stopień 20_21'!$I$9:$I$761,'2 stopień 20_21'!$G$9:$G$761,"MOT.03.",'2 stopień 20_21'!$K$9:$K$761,"CKZ Oleśnica")</f>
        <v>24</v>
      </c>
      <c r="N68" s="104">
        <f>SUMIFS('2 stopień 20_21'!$I$9:$I$761,'2 stopień 20_21'!$G$9:$G$761,"MOT.03.",'2 stopień 20_21'!$K$9:$K$761,"CKZ Świdnica")</f>
        <v>24</v>
      </c>
      <c r="O68" s="104">
        <f>SUMIFS('2 stopień 20_21'!$I$9:$I$761,'2 stopień 20_21'!$G$9:$G$761,"MOT.03.",'2 stopień 20_21'!$K$9:$K$761,"CKZ Wołów")</f>
        <v>0</v>
      </c>
      <c r="P68" s="104">
        <f>SUMIFS('2 stopień 20_21'!$I$9:$I$761,'2 stopień 20_21'!$G$9:$G$761,"MOT.03.",'2 stopień 20_21'!$K$9:$K$761,"CKZ Ziębice")</f>
        <v>0</v>
      </c>
      <c r="Q68" s="104">
        <f>SUMIFS('2 stopień 20_21'!$I$9:$I$761,'2 stopień 20_21'!$G$9:$G$761,"MOT.03.",'2 stopień 20_21'!$K$9:$K$761,"CKZ Dobrodzień")</f>
        <v>0</v>
      </c>
      <c r="R68" s="104">
        <f>SUMIFS('2 stopień 20_21'!$I$9:$I$761,'2 stopień 20_21'!$G$9:$G$761,"MOT.03.",'2 stopień 20_21'!$K$9:$K$761,"CKZ Głubczyce")</f>
        <v>0</v>
      </c>
      <c r="S68" s="104">
        <f>SUMIFS('2 stopień 20_21'!$I$9:$I$761,'2 stopień 20_21'!$G$9:$G$761,"MOT.03.",'2 stopień 20_21'!$K$9:$K$761,"CKZ Kędzierzyn Koźle")</f>
        <v>0</v>
      </c>
      <c r="T68" s="104">
        <f>SUMIFS('2 stopień 20_21'!$I$9:$I$761,'2 stopień 20_21'!$G$9:$G$761,"MOT.03.",'2 stopień 20_21'!$K$9:$K$761,"CKZ Kluczbork")</f>
        <v>0</v>
      </c>
      <c r="U68" s="104">
        <f>SUMIFS('2 stopień 20_21'!$I$9:$I$761,'2 stopień 20_21'!$G$9:$G$761,"MOT.03.",'2 stopień 20_21'!$K$9:$K$761,"CKZ Krotoszyn")</f>
        <v>0</v>
      </c>
      <c r="V68" s="104">
        <f>SUMIFS('2 stopień 20_21'!$I$9:$I$761,'2 stopień 20_21'!$G$9:$G$761,"MOT.03.",'2 stopień 20_21'!$K$9:$K$761,"CKZ Olkusz")</f>
        <v>0</v>
      </c>
      <c r="W68" s="104">
        <f>SUMIFS('2 stopień 20_21'!$I$9:$I$761,'2 stopień 20_21'!$G$9:$G$761,"MOT.03.",'2 stopień 20_21'!$K$9:$K$761,"CKZ Wschowa")</f>
        <v>6</v>
      </c>
      <c r="X68" s="104">
        <f>SUMIFS('2 stopień 20_21'!$I$9:$I$761,'2 stopień 20_21'!$G$9:$G$761,"MOT.03.",'2 stopień 20_21'!$K$9:$K$761,"CKZ Zielona Góra")</f>
        <v>5</v>
      </c>
      <c r="Y68" s="104">
        <f>SUMIFS('2 stopień 20_21'!$I$9:$I$761,'2 stopień 20_21'!$G$9:$G$761,"MOT.03.",'2 stopień 20_21'!$K$9:$K$761,"Rzemieślnicza Wałbrzych")</f>
        <v>0</v>
      </c>
      <c r="Z68" s="104">
        <f>SUMIFS('2 stopień 20_21'!$I$9:$I$761,'2 stopień 20_21'!$G$9:$G$761,"MOT.03.",'2 stopień 20_21'!$K$9:$K$761,"CKZ Mosina")</f>
        <v>0</v>
      </c>
      <c r="AA68" s="104">
        <f>SUMIFS('2 stopień 20_21'!$I$9:$I$761,'2 stopień 20_21'!$G$9:$G$761,"MOT.03.",'2 stopień 20_21'!$K$9:$K$761,"CKZ Słupsk")</f>
        <v>0</v>
      </c>
      <c r="AB68" s="104">
        <f>SUMIFS('2 stopień 20_21'!$I$9:$I$761,'2 stopień 20_21'!$G$9:$G$761,"MOT.03.",'2 stopień 20_21'!$K$9:$K$761,"CKZ Opole")</f>
        <v>0</v>
      </c>
      <c r="AC68" s="104">
        <f>SUMIFS('2 stopień 20_21'!$I$9:$I$761,'2 stopień 20_21'!$G$9:$G$761,"MOT.03.",'2 stopień 20_21'!$K$9:$K$761,"CKZ Wrocław")</f>
        <v>0</v>
      </c>
      <c r="AD68" s="104">
        <f>SUMIFS('2 stopień 20_21'!$I$9:$I$761,'2 stopień 20_21'!$G$9:$G$761,"MOT.03.",'2 stopień 20_21'!$K$9:$K$761,"Brzeg Dolny")</f>
        <v>0</v>
      </c>
      <c r="AE68" s="104">
        <f>SUMIFS('2 stopień 20_21'!$I$9:$I$761,'2 stopień 20_21'!$G$9:$G$761,"MOT.03.",'2 stopień 20_21'!$K$9:$K$761,"")</f>
        <v>0</v>
      </c>
      <c r="AF68" s="105">
        <f t="shared" si="0"/>
        <v>59</v>
      </c>
    </row>
    <row r="69" spans="2:32">
      <c r="B69" s="106" t="s">
        <v>635</v>
      </c>
      <c r="C69" s="107">
        <v>723107</v>
      </c>
      <c r="D69" s="107" t="s">
        <v>825</v>
      </c>
      <c r="E69" s="106" t="s">
        <v>824</v>
      </c>
      <c r="F69" s="103">
        <f>SUMIF('2 stopień 20_21'!G$9:G$761,"MOT.04.",'2 stopień 20_21'!I$9:I$761)</f>
        <v>0</v>
      </c>
      <c r="G69" s="104">
        <f>SUMIFS('2 stopień 20_21'!$I$9:$I$761,'2 stopień 20_21'!$G$9:$G$761,"MOT.04.",'2 stopień 20_21'!$K$9:$K$761,"CKZ Bielawa")</f>
        <v>0</v>
      </c>
      <c r="H69" s="104">
        <f>SUMIFS('2 stopień 20_21'!$I$9:$I$761,'2 stopień 20_21'!$G$9:$G$761,"MOT.04.",'2 stopień 20_21'!$K$9:$K$761,"GCKZ Głogów")</f>
        <v>0</v>
      </c>
      <c r="I69" s="104">
        <f>SUMIFS('2 stopień 20_21'!$I$9:$I$761,'2 stopień 20_21'!$G$9:$G$761,"MOT.04.",'2 stopień 20_21'!$K$9:$K$761,"CKZ Jawor")</f>
        <v>0</v>
      </c>
      <c r="J69" s="104">
        <f>SUMIFS('2 stopień 20_21'!$I$9:$I$761,'2 stopień 20_21'!$G$9:$G$761,"MOT.04.",'2 stopień 20_21'!$K$9:$K$761,"JCKZ Jelenia Góra")</f>
        <v>0</v>
      </c>
      <c r="K69" s="104">
        <f>SUMIFS('2 stopień 20_21'!$I$9:$I$761,'2 stopień 20_21'!$G$9:$G$761,"MOT.04.",'2 stopień 20_21'!$K$9:$K$761,"CKZ Kłodzko")</f>
        <v>0</v>
      </c>
      <c r="L69" s="104">
        <f>SUMIFS('2 stopień 20_21'!$I$9:$I$761,'2 stopień 20_21'!$G$9:$G$761,"MOT.04.",'2 stopień 20_21'!$K$9:$K$761,"CKZ Legnica")</f>
        <v>0</v>
      </c>
      <c r="M69" s="104">
        <f>SUMIFS('2 stopień 20_21'!$I$9:$I$761,'2 stopień 20_21'!$G$9:$G$761,"MOT.04.",'2 stopień 20_21'!$K$9:$K$761,"CKZ Oleśnica")</f>
        <v>0</v>
      </c>
      <c r="N69" s="104">
        <f>SUMIFS('2 stopień 20_21'!$I$9:$I$761,'2 stopień 20_21'!$G$9:$G$761,"MOT.04.",'2 stopień 20_21'!$K$9:$K$761,"CKZ Świdnica")</f>
        <v>0</v>
      </c>
      <c r="O69" s="104">
        <f>SUMIFS('2 stopień 20_21'!$I$9:$I$761,'2 stopień 20_21'!$G$9:$G$761,"MOT.04.",'2 stopień 20_21'!$K$9:$K$761,"CKZ Wołów")</f>
        <v>0</v>
      </c>
      <c r="P69" s="104">
        <f>SUMIFS('2 stopień 20_21'!$I$9:$I$761,'2 stopień 20_21'!$G$9:$G$761,"MOT.04.",'2 stopień 20_21'!$K$9:$K$761,"CKZ Ziębice")</f>
        <v>0</v>
      </c>
      <c r="Q69" s="104">
        <f>SUMIFS('2 stopień 20_21'!$I$9:$I$761,'2 stopień 20_21'!$G$9:$G$761,"MOT.04.",'2 stopień 20_21'!$K$9:$K$761,"CKZ Dobrodzień")</f>
        <v>0</v>
      </c>
      <c r="R69" s="104">
        <f>SUMIFS('2 stopień 20_21'!$I$9:$I$761,'2 stopień 20_21'!$G$9:$G$761,"MOT.04.",'2 stopień 20_21'!$K$9:$K$761,"CKZ Głubczyce")</f>
        <v>0</v>
      </c>
      <c r="S69" s="104">
        <f>SUMIFS('2 stopień 20_21'!$I$9:$I$761,'2 stopień 20_21'!$G$9:$G$761,"MOT.04.",'2 stopień 20_21'!$K$9:$K$761,"CKZ Kędzierzyn Koźle")</f>
        <v>0</v>
      </c>
      <c r="T69" s="104">
        <f>SUMIFS('2 stopień 20_21'!$I$9:$I$761,'2 stopień 20_21'!$G$9:$G$761,"MOT.04.",'2 stopień 20_21'!$K$9:$K$761,"CKZ Kluczbork")</f>
        <v>0</v>
      </c>
      <c r="U69" s="104">
        <f>SUMIFS('2 stopień 20_21'!$I$9:$I$761,'2 stopień 20_21'!$G$9:$G$761,"MOT.04.",'2 stopień 20_21'!$K$9:$K$761,"CKZ Krotoszyn")</f>
        <v>0</v>
      </c>
      <c r="V69" s="104">
        <f>SUMIFS('2 stopień 20_21'!$I$9:$I$761,'2 stopień 20_21'!$G$9:$G$761,"MOT.04.",'2 stopień 20_21'!$K$9:$K$761,"CKZ Olkusz")</f>
        <v>0</v>
      </c>
      <c r="W69" s="104">
        <f>SUMIFS('2 stopień 20_21'!$I$9:$I$761,'2 stopień 20_21'!$G$9:$G$761,"MOT.04.",'2 stopień 20_21'!$K$9:$K$761,"CKZ Wschowa")</f>
        <v>0</v>
      </c>
      <c r="X69" s="104">
        <f>SUMIFS('2 stopień 20_21'!$I$9:$I$761,'2 stopień 20_21'!$G$9:$G$761,"MOT.04.",'2 stopień 20_21'!$K$9:$K$761,"CKZ Zielona Góra")</f>
        <v>0</v>
      </c>
      <c r="Y69" s="104">
        <f>SUMIFS('2 stopień 20_21'!$I$9:$I$761,'2 stopień 20_21'!$G$9:$G$761,"MOT.04.",'2 stopień 20_21'!$K$9:$K$761,"Rzemieślnicza Wałbrzych")</f>
        <v>0</v>
      </c>
      <c r="Z69" s="104">
        <f>SUMIFS('2 stopień 20_21'!$I$9:$I$761,'2 stopień 20_21'!$G$9:$G$761,"MOT.04.",'2 stopień 20_21'!$K$9:$K$761,"CKZ Mosina")</f>
        <v>0</v>
      </c>
      <c r="AA69" s="104">
        <f>SUMIFS('2 stopień 20_21'!$I$9:$I$761,'2 stopień 20_21'!$G$9:$G$761,"MOT.04.",'2 stopień 20_21'!$K$9:$K$761,"CKZ Słupsk")</f>
        <v>0</v>
      </c>
      <c r="AB69" s="104">
        <f>SUMIFS('2 stopień 20_21'!$I$9:$I$761,'2 stopień 20_21'!$G$9:$G$761,"MOT.04.",'2 stopień 20_21'!$K$9:$K$761,"CKZ Opole")</f>
        <v>0</v>
      </c>
      <c r="AC69" s="104">
        <f>SUMIFS('2 stopień 20_21'!$I$9:$I$761,'2 stopień 20_21'!$G$9:$G$761,"MOT.04.",'2 stopień 20_21'!$K$9:$K$761,"CKZ Wrocław")</f>
        <v>0</v>
      </c>
      <c r="AD69" s="104">
        <f>SUMIFS('2 stopień 20_21'!$I$9:$I$761,'2 stopień 20_21'!$G$9:$G$761,"MOT.04.",'2 stopień 20_21'!$K$9:$K$761,"Brzeg Dolny")</f>
        <v>0</v>
      </c>
      <c r="AE69" s="104">
        <f>SUMIFS('2 stopień 20_21'!$I$9:$I$761,'2 stopień 20_21'!$G$9:$G$761,"MOT.04.",'2 stopień 20_21'!$K$9:$K$761,"")</f>
        <v>0</v>
      </c>
      <c r="AF69" s="105">
        <f t="shared" si="0"/>
        <v>0</v>
      </c>
    </row>
    <row r="70" spans="2:32">
      <c r="B70" s="106" t="s">
        <v>74</v>
      </c>
      <c r="C70" s="107">
        <v>723103</v>
      </c>
      <c r="D70" s="107" t="s">
        <v>823</v>
      </c>
      <c r="E70" s="106" t="s">
        <v>822</v>
      </c>
      <c r="F70" s="103">
        <f>SUMIF('2 stopień 20_21'!G$9:G$761,"MOT.05.",'2 stopień 20_21'!I$9:I$761)</f>
        <v>485</v>
      </c>
      <c r="G70" s="104">
        <f>SUMIFS('2 stopień 20_21'!$I$9:$I$761,'2 stopień 20_21'!$G$9:$G$761,"MOT.05.",'2 stopień 20_21'!$K$9:$K$761,"CKZ Bielawa")</f>
        <v>56</v>
      </c>
      <c r="H70" s="104">
        <f>SUMIFS('2 stopień 20_21'!$I$9:$I$761,'2 stopień 20_21'!$G$9:$G$761,"MOT.05.",'2 stopień 20_21'!$K$9:$K$761,"GCKZ Głogów")</f>
        <v>34</v>
      </c>
      <c r="I70" s="104">
        <f>SUMIFS('2 stopień 20_21'!$I$9:$I$761,'2 stopień 20_21'!$G$9:$G$761,"MOT.05.",'2 stopień 20_21'!$K$9:$K$761,"CKZ Jawor")</f>
        <v>0</v>
      </c>
      <c r="J70" s="104">
        <f>SUMIFS('2 stopień 20_21'!$I$9:$I$761,'2 stopień 20_21'!$G$9:$G$761,"MOT.05.",'2 stopień 20_21'!$K$9:$K$761,"JCKZ Jelenia Góra")</f>
        <v>74</v>
      </c>
      <c r="K70" s="104">
        <f>SUMIFS('2 stopień 20_21'!$I$9:$I$761,'2 stopień 20_21'!$G$9:$G$761,"MOT.05.",'2 stopień 20_21'!$K$9:$K$761,"CKZ Kłodzko")</f>
        <v>62</v>
      </c>
      <c r="L70" s="104">
        <f>SUMIFS('2 stopień 20_21'!$I$9:$I$761,'2 stopień 20_21'!$G$9:$G$761,"MOT.05.",'2 stopień 20_21'!$K$9:$K$761,"CKZ Legnica")</f>
        <v>0</v>
      </c>
      <c r="M70" s="104">
        <f>SUMIFS('2 stopień 20_21'!$I$9:$I$761,'2 stopień 20_21'!$G$9:$G$761,"MOT.05.",'2 stopień 20_21'!$K$9:$K$761,"CKZ Oleśnica")</f>
        <v>79</v>
      </c>
      <c r="N70" s="104">
        <f>SUMIFS('2 stopień 20_21'!$I$9:$I$761,'2 stopień 20_21'!$G$9:$G$761,"MOT.05.",'2 stopień 20_21'!$K$9:$K$761,"CKZ Świdnica")</f>
        <v>72</v>
      </c>
      <c r="O70" s="104">
        <f>SUMIFS('2 stopień 20_21'!$I$9:$I$761,'2 stopień 20_21'!$G$9:$G$761,"MOT.05.",'2 stopień 20_21'!$K$9:$K$761,"CKZ Wołów")</f>
        <v>36</v>
      </c>
      <c r="P70" s="104">
        <f>SUMIFS('2 stopień 20_21'!$I$9:$I$761,'2 stopień 20_21'!$G$9:$G$761,"MOT.05.",'2 stopień 20_21'!$K$9:$K$761,"CKZ Ziębice")</f>
        <v>40</v>
      </c>
      <c r="Q70" s="104">
        <f>SUMIFS('2 stopień 20_21'!$I$9:$I$761,'2 stopień 20_21'!$G$9:$G$761,"MOT.05.",'2 stopień 20_21'!$K$9:$K$761,"CKZ Dobrodzień")</f>
        <v>0</v>
      </c>
      <c r="R70" s="104">
        <f>SUMIFS('2 stopień 20_21'!$I$9:$I$761,'2 stopień 20_21'!$G$9:$G$761,"MOT.05.",'2 stopień 20_21'!$K$9:$K$761,"CKZ Głubczyce")</f>
        <v>0</v>
      </c>
      <c r="S70" s="104">
        <f>SUMIFS('2 stopień 20_21'!$I$9:$I$761,'2 stopień 20_21'!$G$9:$G$761,"MOT.05.",'2 stopień 20_21'!$K$9:$K$761,"CKZ Kędzierzyn Koźle")</f>
        <v>0</v>
      </c>
      <c r="T70" s="104">
        <f>SUMIFS('2 stopień 20_21'!$I$9:$I$761,'2 stopień 20_21'!$G$9:$G$761,"MOT.05.",'2 stopień 20_21'!$K$9:$K$761,"CKZ Kluczbork")</f>
        <v>0</v>
      </c>
      <c r="U70" s="104">
        <f>SUMIFS('2 stopień 20_21'!$I$9:$I$761,'2 stopień 20_21'!$G$9:$G$761,"MOT.05.",'2 stopień 20_21'!$K$9:$K$761,"CKZ Krotoszyn")</f>
        <v>0</v>
      </c>
      <c r="V70" s="104">
        <f>SUMIFS('2 stopień 20_21'!$I$9:$I$761,'2 stopień 20_21'!$G$9:$G$761,"MOT.05.",'2 stopień 20_21'!$K$9:$K$761,"CKZ Olkusz")</f>
        <v>0</v>
      </c>
      <c r="W70" s="104">
        <f>SUMIFS('2 stopień 20_21'!$I$9:$I$761,'2 stopień 20_21'!$G$9:$G$761,"MOT.05.",'2 stopień 20_21'!$K$9:$K$761,"CKZ Wschowa")</f>
        <v>14</v>
      </c>
      <c r="X70" s="104">
        <f>SUMIFS('2 stopień 20_21'!$I$9:$I$761,'2 stopień 20_21'!$G$9:$G$761,"MOT.05.",'2 stopień 20_21'!$K$9:$K$761,"CKZ Zielona Góra")</f>
        <v>0</v>
      </c>
      <c r="Y70" s="104">
        <f>SUMIFS('2 stopień 20_21'!$I$9:$I$761,'2 stopień 20_21'!$G$9:$G$761,"MOT.05.",'2 stopień 20_21'!$K$9:$K$761,"Rzemieślnicza Wałbrzych")</f>
        <v>18</v>
      </c>
      <c r="Z70" s="104">
        <f>SUMIFS('2 stopień 20_21'!$I$9:$I$761,'2 stopień 20_21'!$G$9:$G$761,"MOT.05.",'2 stopień 20_21'!$K$9:$K$761,"CKZ Mosina")</f>
        <v>0</v>
      </c>
      <c r="AA70" s="104">
        <f>SUMIFS('2 stopień 20_21'!$I$9:$I$761,'2 stopień 20_21'!$G$9:$G$761,"MOT.05.",'2 stopień 20_21'!$K$9:$K$761,"CKZ Słupsk")</f>
        <v>0</v>
      </c>
      <c r="AB70" s="104">
        <f>SUMIFS('2 stopień 20_21'!$I$9:$I$761,'2 stopień 20_21'!$G$9:$G$761,"MOT.05.",'2 stopień 20_21'!$K$9:$K$761,"CKZ Opole")</f>
        <v>0</v>
      </c>
      <c r="AC70" s="104">
        <f>SUMIFS('2 stopień 20_21'!$I$9:$I$761,'2 stopień 20_21'!$G$9:$G$761,"MOT.05.",'2 stopień 20_21'!$K$9:$K$761,"CKZ Wrocław")</f>
        <v>0</v>
      </c>
      <c r="AD70" s="104">
        <f>SUMIFS('2 stopień 20_21'!$I$9:$I$761,'2 stopień 20_21'!$G$9:$G$761,"MOT.05.",'2 stopień 20_21'!$K$9:$K$761,"Brzeg Dolny")</f>
        <v>0</v>
      </c>
      <c r="AE70" s="104">
        <f>SUMIFS('2 stopień 20_21'!$I$9:$I$761,'2 stopień 20_21'!$G$9:$G$761,"MOT.05.",'2 stopień 20_21'!$K$9:$K$761,"")</f>
        <v>0</v>
      </c>
      <c r="AF70" s="105">
        <f t="shared" si="0"/>
        <v>485</v>
      </c>
    </row>
    <row r="71" spans="2:32">
      <c r="B71" s="106" t="s">
        <v>636</v>
      </c>
      <c r="C71" s="107">
        <v>611303</v>
      </c>
      <c r="D71" s="107" t="s">
        <v>821</v>
      </c>
      <c r="E71" s="106" t="s">
        <v>820</v>
      </c>
      <c r="F71" s="103">
        <f>SUMIF('2 stopień 20_21'!G$9:G$761,"OGR.02.",'2 stopień 20_21'!I$9:I$761)</f>
        <v>2</v>
      </c>
      <c r="G71" s="104">
        <f>SUMIFS('2 stopień 20_21'!$I$9:$I$761,'2 stopień 20_21'!$G$9:$G$761,"OGR.02.",'2 stopień 20_21'!$K$9:$K$761,"CKZ Bielawa")</f>
        <v>0</v>
      </c>
      <c r="H71" s="104">
        <f>SUMIFS('2 stopień 20_21'!$I$9:$I$761,'2 stopień 20_21'!$G$9:$G$761,"OGR.02.",'2 stopień 20_21'!$K$9:$K$761,"GCKZ Głogów")</f>
        <v>0</v>
      </c>
      <c r="I71" s="104">
        <f>SUMIFS('2 stopień 20_21'!$I$9:$I$761,'2 stopień 20_21'!$G$9:$G$761,"OGR.02.",'2 stopień 20_21'!$K$9:$K$761,"CKZ Jawor")</f>
        <v>0</v>
      </c>
      <c r="J71" s="104">
        <f>SUMIFS('2 stopień 20_21'!$I$9:$I$761,'2 stopień 20_21'!$G$9:$G$761,"OGR.02.",'2 stopień 20_21'!$K$9:$K$761,"JCKZ Jelenia Góra")</f>
        <v>0</v>
      </c>
      <c r="K71" s="104">
        <f>SUMIFS('2 stopień 20_21'!$I$9:$I$761,'2 stopień 20_21'!$G$9:$G$761,"OGR.02.",'2 stopień 20_21'!$K$9:$K$761,"CKZ Kłodzko")</f>
        <v>0</v>
      </c>
      <c r="L71" s="104">
        <f>SUMIFS('2 stopień 20_21'!$I$9:$I$761,'2 stopień 20_21'!$G$9:$G$761,"OGR.02.",'2 stopień 20_21'!$K$9:$K$761,"CKZ Legnica")</f>
        <v>0</v>
      </c>
      <c r="M71" s="104">
        <f>SUMIFS('2 stopień 20_21'!$I$9:$I$761,'2 stopień 20_21'!$G$9:$G$761,"OGR.02.",'2 stopień 20_21'!$K$9:$K$761,"CKZ Oleśnica")</f>
        <v>0</v>
      </c>
      <c r="N71" s="104">
        <f>SUMIFS('2 stopień 20_21'!$I$9:$I$761,'2 stopień 20_21'!$G$9:$G$761,"OGR.02.",'2 stopień 20_21'!$K$9:$K$761,"CKZ Świdnica")</f>
        <v>0</v>
      </c>
      <c r="O71" s="104">
        <f>SUMIFS('2 stopień 20_21'!$I$9:$I$761,'2 stopień 20_21'!$G$9:$G$761,"OGR.02.",'2 stopień 20_21'!$K$9:$K$761,"CKZ Wołów")</f>
        <v>0</v>
      </c>
      <c r="P71" s="104">
        <f>SUMIFS('2 stopień 20_21'!$I$9:$I$761,'2 stopień 20_21'!$G$9:$G$761,"OGR.02.",'2 stopień 20_21'!$K$9:$K$761,"CKZ Ziębice")</f>
        <v>0</v>
      </c>
      <c r="Q71" s="104">
        <f>SUMIFS('2 stopień 20_21'!$I$9:$I$761,'2 stopień 20_21'!$G$9:$G$761,"OGR.02.",'2 stopień 20_21'!$K$9:$K$761,"CKZ Dobrodzień")</f>
        <v>0</v>
      </c>
      <c r="R71" s="104">
        <f>SUMIFS('2 stopień 20_21'!$I$9:$I$761,'2 stopień 20_21'!$G$9:$G$761,"OGR.02.",'2 stopień 20_21'!$K$9:$K$761,"CKZ Głubczyce")</f>
        <v>0</v>
      </c>
      <c r="S71" s="104">
        <f>SUMIFS('2 stopień 20_21'!$I$9:$I$761,'2 stopień 20_21'!$G$9:$G$761,"OGR.02.",'2 stopień 20_21'!$K$9:$K$761,"CKZ Kędzierzyn Koźle")</f>
        <v>0</v>
      </c>
      <c r="T71" s="104">
        <f>SUMIFS('2 stopień 20_21'!$I$9:$I$761,'2 stopień 20_21'!$G$9:$G$761,"OGR.02.",'2 stopień 20_21'!$K$9:$K$761,"CKZ Kluczbork")</f>
        <v>0</v>
      </c>
      <c r="U71" s="104">
        <f>SUMIFS('2 stopień 20_21'!$I$9:$I$761,'2 stopień 20_21'!$G$9:$G$761,"OGR.02.",'2 stopień 20_21'!$K$9:$K$761,"CKZ Krotoszyn")</f>
        <v>0</v>
      </c>
      <c r="V71" s="104">
        <f>SUMIFS('2 stopień 20_21'!$I$9:$I$761,'2 stopień 20_21'!$G$9:$G$761,"OGR.02.",'2 stopień 20_21'!$K$9:$K$761,"CKZ Olkusz")</f>
        <v>0</v>
      </c>
      <c r="W71" s="104">
        <f>SUMIFS('2 stopień 20_21'!$I$9:$I$761,'2 stopień 20_21'!$G$9:$G$761,"OGR.02.",'2 stopień 20_21'!$K$9:$K$761,"CKZ Wschowa")</f>
        <v>0</v>
      </c>
      <c r="X71" s="104">
        <f>SUMIFS('2 stopień 20_21'!$I$9:$I$761,'2 stopień 20_21'!$G$9:$G$761,"OGR.02.",'2 stopień 20_21'!$K$9:$K$761,"CKZ Zielona Góra")</f>
        <v>2</v>
      </c>
      <c r="Y71" s="104">
        <f>SUMIFS('2 stopień 20_21'!$I$9:$I$761,'2 stopień 20_21'!$G$9:$G$761,"OGR.02.",'2 stopień 20_21'!$K$9:$K$761,"Rzemieślnicza Wałbrzych")</f>
        <v>0</v>
      </c>
      <c r="Z71" s="104">
        <f>SUMIFS('2 stopień 20_21'!$I$9:$I$761,'2 stopień 20_21'!$G$9:$G$761,"OGR.02.",'2 stopień 20_21'!$K$9:$K$761,"CKZ Mosina")</f>
        <v>0</v>
      </c>
      <c r="AA71" s="104">
        <f>SUMIFS('2 stopień 20_21'!$I$9:$I$761,'2 stopień 20_21'!$G$9:$G$761,"OGR.02.",'2 stopień 20_21'!$K$9:$K$761,"CKZ Słupsk")</f>
        <v>0</v>
      </c>
      <c r="AB71" s="104">
        <f>SUMIFS('2 stopień 20_21'!$I$9:$I$761,'2 stopień 20_21'!$G$9:$G$761,"OGR.02.",'2 stopień 20_21'!$K$9:$K$761,"CKZ Opole")</f>
        <v>0</v>
      </c>
      <c r="AC71" s="104">
        <f>SUMIFS('2 stopień 20_21'!$I$9:$I$761,'2 stopień 20_21'!$G$9:$G$761,"OGR.02.",'2 stopień 20_21'!$K$9:$K$761,"CKZ Wrocław")</f>
        <v>0</v>
      </c>
      <c r="AD71" s="104">
        <f>SUMIFS('2 stopień 20_21'!$I$9:$I$761,'2 stopień 20_21'!$G$9:$G$761,"OGR.02.",'2 stopień 20_21'!$K$9:$K$761,"Brzeg Dolny")</f>
        <v>0</v>
      </c>
      <c r="AE71" s="104">
        <f>SUMIFS('2 stopień 20_21'!$I$9:$I$761,'2 stopień 20_21'!$G$9:$G$761,"OGR.02.",'2 stopień 20_21'!$K$9:$K$761,"")</f>
        <v>0</v>
      </c>
      <c r="AF71" s="105">
        <f t="shared" ref="AF71:AF100" si="1">SUM(G71:AE71)</f>
        <v>2</v>
      </c>
    </row>
    <row r="72" spans="2:32">
      <c r="B72" s="106" t="s">
        <v>637</v>
      </c>
      <c r="C72" s="107">
        <v>732209</v>
      </c>
      <c r="D72" s="107" t="s">
        <v>819</v>
      </c>
      <c r="E72" s="106" t="s">
        <v>818</v>
      </c>
      <c r="F72" s="103">
        <f>SUMIF('2 stopień 20_21'!G$9:G$761,"PGF.01.",'2 stopień 20_21'!I$9:I$761)</f>
        <v>0</v>
      </c>
      <c r="G72" s="104">
        <f>SUMIFS('2 stopień 20_21'!$I$9:$I$761,'2 stopień 20_21'!$G$9:$G$761,"PGF.01.",'2 stopień 20_21'!$K$9:$K$761,"CKZ Bielawa")</f>
        <v>0</v>
      </c>
      <c r="H72" s="104">
        <f>SUMIFS('2 stopień 20_21'!$I$9:$I$761,'2 stopień 20_21'!$G$9:$G$761,"PGF.01.",'2 stopień 20_21'!$K$9:$K$761,"GCKZ Głogów")</f>
        <v>0</v>
      </c>
      <c r="I72" s="104">
        <f>SUMIFS('2 stopień 20_21'!$I$9:$I$761,'2 stopień 20_21'!$G$9:$G$761,"PGF.01.",'2 stopień 20_21'!$K$9:$K$761,"CKZ Jawor")</f>
        <v>0</v>
      </c>
      <c r="J72" s="104">
        <f>SUMIFS('2 stopień 20_21'!$I$9:$I$761,'2 stopień 20_21'!$G$9:$G$761,"PGF.01.",'2 stopień 20_21'!$K$9:$K$761,"JCKZ Jelenia Góra")</f>
        <v>0</v>
      </c>
      <c r="K72" s="104">
        <f>SUMIFS('2 stopień 20_21'!$I$9:$I$761,'2 stopień 20_21'!$G$9:$G$761,"PGF.01.",'2 stopień 20_21'!$K$9:$K$761,"CKZ Kłodzko")</f>
        <v>0</v>
      </c>
      <c r="L72" s="104">
        <f>SUMIFS('2 stopień 20_21'!$I$9:$I$761,'2 stopień 20_21'!$G$9:$G$761,"PGF.01.",'2 stopień 20_21'!$K$9:$K$761,"CKZ Legnica")</f>
        <v>0</v>
      </c>
      <c r="M72" s="104">
        <f>SUMIFS('2 stopień 20_21'!$I$9:$I$761,'2 stopień 20_21'!$G$9:$G$761,"PGF.01.",'2 stopień 20_21'!$K$9:$K$761,"CKZ Oleśnica")</f>
        <v>0</v>
      </c>
      <c r="N72" s="104">
        <f>SUMIFS('2 stopień 20_21'!$I$9:$I$761,'2 stopień 20_21'!$G$9:$G$761,"PGF.01.",'2 stopień 20_21'!$K$9:$K$761,"CKZ Świdnica")</f>
        <v>0</v>
      </c>
      <c r="O72" s="104">
        <f>SUMIFS('2 stopień 20_21'!$I$9:$I$761,'2 stopień 20_21'!$G$9:$G$761,"PGF.01.",'2 stopień 20_21'!$K$9:$K$761,"CKZ Wołów")</f>
        <v>0</v>
      </c>
      <c r="P72" s="104">
        <f>SUMIFS('2 stopień 20_21'!$I$9:$I$761,'2 stopień 20_21'!$G$9:$G$761,"PGF.01.",'2 stopień 20_21'!$K$9:$K$761,"CKZ Ziębice")</f>
        <v>0</v>
      </c>
      <c r="Q72" s="104">
        <f>SUMIFS('2 stopień 20_21'!$I$9:$I$761,'2 stopień 20_21'!$G$9:$G$761,"PGF.01.",'2 stopień 20_21'!$K$9:$K$761,"CKZ Dobrodzień")</f>
        <v>0</v>
      </c>
      <c r="R72" s="104">
        <f>SUMIFS('2 stopień 20_21'!$I$9:$I$761,'2 stopień 20_21'!$G$9:$G$761,"PGF.01.",'2 stopień 20_21'!$K$9:$K$761,"CKZ Głubczyce")</f>
        <v>0</v>
      </c>
      <c r="S72" s="104">
        <f>SUMIFS('2 stopień 20_21'!$I$9:$I$761,'2 stopień 20_21'!$G$9:$G$761,"PGF.01.",'2 stopień 20_21'!$K$9:$K$761,"CKZ Kędzierzyn Koźle")</f>
        <v>0</v>
      </c>
      <c r="T72" s="104">
        <f>SUMIFS('2 stopień 20_21'!$I$9:$I$761,'2 stopień 20_21'!$G$9:$G$761,"PGF.01.",'2 stopień 20_21'!$K$9:$K$761,"CKZ Kluczbork")</f>
        <v>0</v>
      </c>
      <c r="U72" s="104">
        <f>SUMIFS('2 stopień 20_21'!$I$9:$I$761,'2 stopień 20_21'!$G$9:$G$761,"PGF.01.",'2 stopień 20_21'!$K$9:$K$761,"CKZ Krotoszyn")</f>
        <v>0</v>
      </c>
      <c r="V72" s="104">
        <f>SUMIFS('2 stopień 20_21'!$I$9:$I$761,'2 stopień 20_21'!$G$9:$G$761,"PGF.01.",'2 stopień 20_21'!$K$9:$K$761,"CKZ Olkusz")</f>
        <v>0</v>
      </c>
      <c r="W72" s="104">
        <f>SUMIFS('2 stopień 20_21'!$I$9:$I$761,'2 stopień 20_21'!$G$9:$G$761,"PGF.01.",'2 stopień 20_21'!$K$9:$K$761,"CKZ Wschowa")</f>
        <v>0</v>
      </c>
      <c r="X72" s="104">
        <f>SUMIFS('2 stopień 20_21'!$I$9:$I$761,'2 stopień 20_21'!$G$9:$G$761,"PGF.01.",'2 stopień 20_21'!$K$9:$K$761,"CKZ Zielona Góra")</f>
        <v>0</v>
      </c>
      <c r="Y72" s="104">
        <f>SUMIFS('2 stopień 20_21'!$I$9:$I$761,'2 stopień 20_21'!$G$9:$G$761,"PGF.01.",'2 stopień 20_21'!$K$9:$K$761,"Rzemieślnicza Wałbrzych")</f>
        <v>0</v>
      </c>
      <c r="Z72" s="104">
        <f>SUMIFS('2 stopień 20_21'!$I$9:$I$761,'2 stopień 20_21'!$G$9:$G$761,"PGF.01.",'2 stopień 20_21'!$K$9:$K$761,"CKZ Mosina")</f>
        <v>0</v>
      </c>
      <c r="AA72" s="104">
        <f>SUMIFS('2 stopień 20_21'!$I$9:$I$761,'2 stopień 20_21'!$G$9:$G$761,"PGF.01.",'2 stopień 20_21'!$K$9:$K$761,"CKZ Słupsk")</f>
        <v>0</v>
      </c>
      <c r="AB72" s="104">
        <f>SUMIFS('2 stopień 20_21'!$I$9:$I$761,'2 stopień 20_21'!$G$9:$G$761,"PGF.01.",'2 stopień 20_21'!$K$9:$K$761,"CKZ Opole")</f>
        <v>0</v>
      </c>
      <c r="AC72" s="104">
        <f>SUMIFS('2 stopień 20_21'!$I$9:$I$761,'2 stopień 20_21'!$G$9:$G$761,"PGF.01.",'2 stopień 20_21'!$K$9:$K$761,"CKZ Wrocław")</f>
        <v>0</v>
      </c>
      <c r="AD72" s="104">
        <f>SUMIFS('2 stopień 20_21'!$I$9:$I$761,'2 stopień 20_21'!$G$9:$G$761,"PGF.01.",'2 stopień 20_21'!$K$9:$K$761,"Brzeg Dolny")</f>
        <v>0</v>
      </c>
      <c r="AE72" s="104">
        <f>SUMIFS('2 stopień 20_21'!$I$9:$I$761,'2 stopień 20_21'!$G$9:$G$761,"PGF.01.",'2 stopień 20_21'!$K$9:$K$761,"")</f>
        <v>0</v>
      </c>
      <c r="AF72" s="105">
        <f t="shared" si="1"/>
        <v>0</v>
      </c>
    </row>
    <row r="73" spans="2:32">
      <c r="B73" s="106" t="s">
        <v>524</v>
      </c>
      <c r="C73" s="107">
        <v>732210</v>
      </c>
      <c r="D73" s="107" t="s">
        <v>817</v>
      </c>
      <c r="E73" s="106" t="s">
        <v>816</v>
      </c>
      <c r="F73" s="103">
        <f>SUMIF('2 stopień 20_21'!G$9:G$761,"PGF.02.",'2 stopień 20_21'!I$9:I$761)</f>
        <v>5</v>
      </c>
      <c r="G73" s="104">
        <f>SUMIFS('2 stopień 20_21'!$I$9:$I$761,'2 stopień 20_21'!$G$9:$G$761,"PGF.02.",'2 stopień 20_21'!$K$9:$K$761,"CKZ Bielawa")</f>
        <v>0</v>
      </c>
      <c r="H73" s="104">
        <f>SUMIFS('2 stopień 20_21'!$I$9:$I$761,'2 stopień 20_21'!$G$9:$G$761,"PGF.02.",'2 stopień 20_21'!$K$9:$K$761,"GCKZ Głogów")</f>
        <v>0</v>
      </c>
      <c r="I73" s="104">
        <f>SUMIFS('2 stopień 20_21'!$I$9:$I$761,'2 stopień 20_21'!$G$9:$G$761,"PGF.02.",'2 stopień 20_21'!$K$9:$K$761,"CKZ Jawor")</f>
        <v>0</v>
      </c>
      <c r="J73" s="104">
        <f>SUMIFS('2 stopień 20_21'!$I$9:$I$761,'2 stopień 20_21'!$G$9:$G$761,"PGF.02.",'2 stopień 20_21'!$K$9:$K$761,"JCKZ Jelenia Góra")</f>
        <v>0</v>
      </c>
      <c r="K73" s="104">
        <f>SUMIFS('2 stopień 20_21'!$I$9:$I$761,'2 stopień 20_21'!$G$9:$G$761,"PGF.02.",'2 stopień 20_21'!$K$9:$K$761,"CKZ Kłodzko")</f>
        <v>0</v>
      </c>
      <c r="L73" s="104">
        <f>SUMIFS('2 stopień 20_21'!$I$9:$I$761,'2 stopień 20_21'!$G$9:$G$761,"PGF.02.",'2 stopień 20_21'!$K$9:$K$761,"CKZ Legnica")</f>
        <v>0</v>
      </c>
      <c r="M73" s="104">
        <f>SUMIFS('2 stopień 20_21'!$I$9:$I$761,'2 stopień 20_21'!$G$9:$G$761,"PGF.02.",'2 stopień 20_21'!$K$9:$K$761,"CKZ Oleśnica")</f>
        <v>0</v>
      </c>
      <c r="N73" s="104">
        <f>SUMIFS('2 stopień 20_21'!$I$9:$I$761,'2 stopień 20_21'!$G$9:$G$761,"PGF.02.",'2 stopień 20_21'!$K$9:$K$761,"CKZ Świdnica")</f>
        <v>0</v>
      </c>
      <c r="O73" s="104">
        <f>SUMIFS('2 stopień 20_21'!$I$9:$I$761,'2 stopień 20_21'!$G$9:$G$761,"PGF.02.",'2 stopień 20_21'!$K$9:$K$761,"CKZ Wołów")</f>
        <v>0</v>
      </c>
      <c r="P73" s="104">
        <f>SUMIFS('2 stopień 20_21'!$I$9:$I$761,'2 stopień 20_21'!$G$9:$G$761,"PGF.02.",'2 stopień 20_21'!$K$9:$K$761,"CKZ Ziębice")</f>
        <v>0</v>
      </c>
      <c r="Q73" s="104">
        <f>SUMIFS('2 stopień 20_21'!$I$9:$I$761,'2 stopień 20_21'!$G$9:$G$761,"PGF.02.",'2 stopień 20_21'!$K$9:$K$761,"CKZ Dobrodzień")</f>
        <v>0</v>
      </c>
      <c r="R73" s="104">
        <f>SUMIFS('2 stopień 20_21'!$I$9:$I$761,'2 stopień 20_21'!$G$9:$G$761,"PGF.02.",'2 stopień 20_21'!$K$9:$K$761,"CKZ Głubczyce")</f>
        <v>0</v>
      </c>
      <c r="S73" s="104">
        <f>SUMIFS('2 stopień 20_21'!$I$9:$I$761,'2 stopień 20_21'!$G$9:$G$761,"PGF.02.",'2 stopień 20_21'!$K$9:$K$761,"CKZ Kędzierzyn Koźle")</f>
        <v>0</v>
      </c>
      <c r="T73" s="104">
        <f>SUMIFS('2 stopień 20_21'!$I$9:$I$761,'2 stopień 20_21'!$G$9:$G$761,"PGF.02.",'2 stopień 20_21'!$K$9:$K$761,"CKZ Kluczbork")</f>
        <v>0</v>
      </c>
      <c r="U73" s="104">
        <f>SUMIFS('2 stopień 20_21'!$I$9:$I$761,'2 stopień 20_21'!$G$9:$G$761,"PGF.02.",'2 stopień 20_21'!$K$9:$K$761,"CKZ Krotoszyn")</f>
        <v>0</v>
      </c>
      <c r="V73" s="104">
        <f>SUMIFS('2 stopień 20_21'!$I$9:$I$761,'2 stopień 20_21'!$G$9:$G$761,"PGF.02.",'2 stopień 20_21'!$K$9:$K$761,"CKZ Olkusz")</f>
        <v>0</v>
      </c>
      <c r="W73" s="104">
        <f>SUMIFS('2 stopień 20_21'!$I$9:$I$761,'2 stopień 20_21'!$G$9:$G$761,"PGF.02.",'2 stopień 20_21'!$K$9:$K$761,"CKZ Wschowa")</f>
        <v>0</v>
      </c>
      <c r="X73" s="104">
        <f>SUMIFS('2 stopień 20_21'!$I$9:$I$761,'2 stopień 20_21'!$G$9:$G$761,"PGF.02.",'2 stopień 20_21'!$K$9:$K$761,"CKZ Zielona Góra")</f>
        <v>0</v>
      </c>
      <c r="Y73" s="104">
        <f>SUMIFS('2 stopień 20_21'!$I$9:$I$761,'2 stopień 20_21'!$G$9:$G$761,"PGF.02.",'2 stopień 20_21'!$K$9:$K$761,"Rzemieślnicza Wałbrzych")</f>
        <v>0</v>
      </c>
      <c r="Z73" s="104">
        <f>SUMIFS('2 stopień 20_21'!$I$9:$I$761,'2 stopień 20_21'!$G$9:$G$761,"PGF.02.",'2 stopień 20_21'!$K$9:$K$761,"CKZ Mosina")</f>
        <v>5</v>
      </c>
      <c r="AA73" s="104">
        <f>SUMIFS('2 stopień 20_21'!$I$9:$I$761,'2 stopień 20_21'!$G$9:$G$761,"PGF.02.",'2 stopień 20_21'!$K$9:$K$761,"CKZ Słupsk")</f>
        <v>0</v>
      </c>
      <c r="AB73" s="104">
        <f>SUMIFS('2 stopień 20_21'!$I$9:$I$761,'2 stopień 20_21'!$G$9:$G$761,"PGF.02.",'2 stopień 20_21'!$K$9:$K$761,"CKZ Opole")</f>
        <v>0</v>
      </c>
      <c r="AC73" s="104">
        <f>SUMIFS('2 stopień 20_21'!$I$9:$I$761,'2 stopień 20_21'!$G$9:$G$761,"PGF.02.",'2 stopień 20_21'!$K$9:$K$761,"CKZ Wrocław")</f>
        <v>0</v>
      </c>
      <c r="AD73" s="104">
        <f>SUMIFS('2 stopień 20_21'!$I$9:$I$761,'2 stopień 20_21'!$G$9:$G$761,"PGF.02.",'2 stopień 20_21'!$K$9:$K$761,"Brzeg Dolny")</f>
        <v>0</v>
      </c>
      <c r="AE73" s="104">
        <f>SUMIFS('2 stopień 20_21'!$I$9:$I$761,'2 stopień 20_21'!$G$9:$G$761,"PGF.02.",'2 stopień 20_21'!$K$9:$K$761,"")</f>
        <v>0</v>
      </c>
      <c r="AF73" s="105">
        <f t="shared" si="1"/>
        <v>5</v>
      </c>
    </row>
    <row r="74" spans="2:32">
      <c r="B74" s="106" t="s">
        <v>638</v>
      </c>
      <c r="C74" s="107">
        <v>732305</v>
      </c>
      <c r="D74" s="107" t="s">
        <v>815</v>
      </c>
      <c r="E74" s="106" t="s">
        <v>814</v>
      </c>
      <c r="F74" s="103">
        <f>SUMIF('2 stopień 20_21'!G$9:G$761,"PGF.03.",'2 stopień 20_21'!I$9:I$761)</f>
        <v>0</v>
      </c>
      <c r="G74" s="104">
        <f>SUMIFS('2 stopień 20_21'!$I$9:$I$761,'2 stopień 20_21'!$G$9:$G$761,"PGF.03.",'2 stopień 20_21'!$K$9:$K$761,"CKZ Bielawa")</f>
        <v>0</v>
      </c>
      <c r="H74" s="104">
        <f>SUMIFS('2 stopień 20_21'!$I$9:$I$761,'2 stopień 20_21'!$G$9:$G$761,"PGF.03.",'2 stopień 20_21'!$K$9:$K$761,"GCKZ Głogów")</f>
        <v>0</v>
      </c>
      <c r="I74" s="104">
        <f>SUMIFS('2 stopień 20_21'!$I$9:$I$761,'2 stopień 20_21'!$G$9:$G$761,"PGF.03.",'2 stopień 20_21'!$K$9:$K$761,"CKZ Jawor")</f>
        <v>0</v>
      </c>
      <c r="J74" s="104">
        <f>SUMIFS('2 stopień 20_21'!$I$9:$I$761,'2 stopień 20_21'!$G$9:$G$761,"PGF.03.",'2 stopień 20_21'!$K$9:$K$761,"JCKZ Jelenia Góra")</f>
        <v>0</v>
      </c>
      <c r="K74" s="104">
        <f>SUMIFS('2 stopień 20_21'!$I$9:$I$761,'2 stopień 20_21'!$G$9:$G$761,"PGF.03.",'2 stopień 20_21'!$K$9:$K$761,"CKZ Kłodzko")</f>
        <v>0</v>
      </c>
      <c r="L74" s="104">
        <f>SUMIFS('2 stopień 20_21'!$I$9:$I$761,'2 stopień 20_21'!$G$9:$G$761,"PGF.03.",'2 stopień 20_21'!$K$9:$K$761,"CKZ Legnica")</f>
        <v>0</v>
      </c>
      <c r="M74" s="104">
        <f>SUMIFS('2 stopień 20_21'!$I$9:$I$761,'2 stopień 20_21'!$G$9:$G$761,"PGF.03.",'2 stopień 20_21'!$K$9:$K$761,"CKZ Oleśnica")</f>
        <v>0</v>
      </c>
      <c r="N74" s="104">
        <f>SUMIFS('2 stopień 20_21'!$I$9:$I$761,'2 stopień 20_21'!$G$9:$G$761,"PGF.03.",'2 stopień 20_21'!$K$9:$K$761,"CKZ Świdnica")</f>
        <v>0</v>
      </c>
      <c r="O74" s="104">
        <f>SUMIFS('2 stopień 20_21'!$I$9:$I$761,'2 stopień 20_21'!$G$9:$G$761,"PGF.03.",'2 stopień 20_21'!$K$9:$K$761,"CKZ Wołów")</f>
        <v>0</v>
      </c>
      <c r="P74" s="104">
        <f>SUMIFS('2 stopień 20_21'!$I$9:$I$761,'2 stopień 20_21'!$G$9:$G$761,"PGF.03.",'2 stopień 20_21'!$K$9:$K$761,"CKZ Ziębice")</f>
        <v>0</v>
      </c>
      <c r="Q74" s="104">
        <f>SUMIFS('2 stopień 20_21'!$I$9:$I$761,'2 stopień 20_21'!$G$9:$G$761,"PGF.03.",'2 stopień 20_21'!$K$9:$K$761,"CKZ Dobrodzień")</f>
        <v>0</v>
      </c>
      <c r="R74" s="104">
        <f>SUMIFS('2 stopień 20_21'!$I$9:$I$761,'2 stopień 20_21'!$G$9:$G$761,"PGF.03.",'2 stopień 20_21'!$K$9:$K$761,"CKZ Głubczyce")</f>
        <v>0</v>
      </c>
      <c r="S74" s="104">
        <f>SUMIFS('2 stopień 20_21'!$I$9:$I$761,'2 stopień 20_21'!$G$9:$G$761,"PGF.03.",'2 stopień 20_21'!$K$9:$K$761,"CKZ Kędzierzyn Koźle")</f>
        <v>0</v>
      </c>
      <c r="T74" s="104">
        <f>SUMIFS('2 stopień 20_21'!$I$9:$I$761,'2 stopień 20_21'!$G$9:$G$761,"PGF.03.",'2 stopień 20_21'!$K$9:$K$761,"CKZ Kluczbork")</f>
        <v>0</v>
      </c>
      <c r="U74" s="104">
        <f>SUMIFS('2 stopień 20_21'!$I$9:$I$761,'2 stopień 20_21'!$G$9:$G$761,"PGF.03.",'2 stopień 20_21'!$K$9:$K$761,"CKZ Krotoszyn")</f>
        <v>0</v>
      </c>
      <c r="V74" s="104">
        <f>SUMIFS('2 stopień 20_21'!$I$9:$I$761,'2 stopień 20_21'!$G$9:$G$761,"PGF.03.",'2 stopień 20_21'!$K$9:$K$761,"CKZ Olkusz")</f>
        <v>0</v>
      </c>
      <c r="W74" s="104">
        <f>SUMIFS('2 stopień 20_21'!$I$9:$I$761,'2 stopień 20_21'!$G$9:$G$761,"PGF.03.",'2 stopień 20_21'!$K$9:$K$761,"CKZ Wschowa")</f>
        <v>0</v>
      </c>
      <c r="X74" s="104">
        <f>SUMIFS('2 stopień 20_21'!$I$9:$I$761,'2 stopień 20_21'!$G$9:$G$761,"PGF.03.",'2 stopień 20_21'!$K$9:$K$761,"CKZ Zielona Góra")</f>
        <v>0</v>
      </c>
      <c r="Y74" s="104">
        <f>SUMIFS('2 stopień 20_21'!$I$9:$I$761,'2 stopień 20_21'!$G$9:$G$761,"PGF.03.",'2 stopień 20_21'!$K$9:$K$761,"Rzemieślnicza Wałbrzych")</f>
        <v>0</v>
      </c>
      <c r="Z74" s="104">
        <f>SUMIFS('2 stopień 20_21'!$I$9:$I$761,'2 stopień 20_21'!$G$9:$G$761,"PGF.03.",'2 stopień 20_21'!$K$9:$K$761,"CKZ Mosina")</f>
        <v>0</v>
      </c>
      <c r="AA74" s="104">
        <f>SUMIFS('2 stopień 20_21'!$I$9:$I$761,'2 stopień 20_21'!$G$9:$G$761,"PGF.03.",'2 stopień 20_21'!$K$9:$K$761,"CKZ Słupsk")</f>
        <v>0</v>
      </c>
      <c r="AB74" s="104">
        <f>SUMIFS('2 stopień 20_21'!$I$9:$I$761,'2 stopień 20_21'!$G$9:$G$761,"PGF.03.",'2 stopień 20_21'!$K$9:$K$761,"CKZ Opole")</f>
        <v>0</v>
      </c>
      <c r="AC74" s="104">
        <f>SUMIFS('2 stopień 20_21'!$I$9:$I$761,'2 stopień 20_21'!$G$9:$G$761,"PGF.03.",'2 stopień 20_21'!$K$9:$K$761,"CKZ Wrocław")</f>
        <v>0</v>
      </c>
      <c r="AD74" s="104">
        <f>SUMIFS('2 stopień 20_21'!$I$9:$I$761,'2 stopień 20_21'!$G$9:$G$761,"PGF.03.",'2 stopień 20_21'!$K$9:$K$761,"Brzeg Dolny")</f>
        <v>0</v>
      </c>
      <c r="AE74" s="104">
        <f>SUMIFS('2 stopień 20_21'!$I$9:$I$761,'2 stopień 20_21'!$G$9:$G$761,"PGF.03.",'2 stopień 20_21'!$K$9:$K$761,"")</f>
        <v>0</v>
      </c>
      <c r="AF74" s="105">
        <f t="shared" si="1"/>
        <v>0</v>
      </c>
    </row>
    <row r="75" spans="2:32">
      <c r="B75" s="106" t="s">
        <v>639</v>
      </c>
      <c r="C75" s="107">
        <v>753501</v>
      </c>
      <c r="D75" s="107" t="s">
        <v>813</v>
      </c>
      <c r="E75" s="106" t="s">
        <v>812</v>
      </c>
      <c r="F75" s="103">
        <f>SUMIF('2 stopień 20_21'!G$9:G$761,"MOD.01.",'2 stopień 20_21'!I$9:I$761)</f>
        <v>0</v>
      </c>
      <c r="G75" s="104">
        <f>SUMIFS('2 stopień 20_21'!$I$9:$I$761,'2 stopień 20_21'!$G$9:$G$761,"MOD.01.",'2 stopień 20_21'!$K$9:$K$761,"CKZ Bielawa")</f>
        <v>0</v>
      </c>
      <c r="H75" s="104">
        <f>SUMIFS('2 stopień 20_21'!$I$9:$I$761,'2 stopień 20_21'!$G$9:$G$761,"MOD.01.",'2 stopień 20_21'!$K$9:$K$761,"GCKZ Głogów")</f>
        <v>0</v>
      </c>
      <c r="I75" s="104">
        <f>SUMIFS('2 stopień 20_21'!$I$9:$I$761,'2 stopień 20_21'!$G$9:$G$761,"MOD.01.",'2 stopień 20_21'!$K$9:$K$761,"CKZ Jawor")</f>
        <v>0</v>
      </c>
      <c r="J75" s="104">
        <f>SUMIFS('2 stopień 20_21'!$I$9:$I$761,'2 stopień 20_21'!$G$9:$G$761,"MOD.01.",'2 stopień 20_21'!$K$9:$K$761,"JCKZ Jelenia Góra")</f>
        <v>0</v>
      </c>
      <c r="K75" s="104">
        <f>SUMIFS('2 stopień 20_21'!$I$9:$I$761,'2 stopień 20_21'!$G$9:$G$761,"MOD.01.",'2 stopień 20_21'!$K$9:$K$761,"CKZ Kłodzko")</f>
        <v>0</v>
      </c>
      <c r="L75" s="104">
        <f>SUMIFS('2 stopień 20_21'!$I$9:$I$761,'2 stopień 20_21'!$G$9:$G$761,"MOD.01.",'2 stopień 20_21'!$K$9:$K$761,"CKZ Legnica")</f>
        <v>0</v>
      </c>
      <c r="M75" s="104">
        <f>SUMIFS('2 stopień 20_21'!$I$9:$I$761,'2 stopień 20_21'!$G$9:$G$761,"MOD.01.",'2 stopień 20_21'!$K$9:$K$761,"CKZ Oleśnica")</f>
        <v>0</v>
      </c>
      <c r="N75" s="104">
        <f>SUMIFS('2 stopień 20_21'!$I$9:$I$761,'2 stopień 20_21'!$G$9:$G$761,"MOD.01.",'2 stopień 20_21'!$K$9:$K$761,"CKZ Świdnica")</f>
        <v>0</v>
      </c>
      <c r="O75" s="104">
        <f>SUMIFS('2 stopień 20_21'!$I$9:$I$761,'2 stopień 20_21'!$G$9:$G$761,"MOD.01.",'2 stopień 20_21'!$K$9:$K$761,"CKZ Wołów")</f>
        <v>0</v>
      </c>
      <c r="P75" s="104">
        <f>SUMIFS('2 stopień 20_21'!$I$9:$I$761,'2 stopień 20_21'!$G$9:$G$761,"MOD.01.",'2 stopień 20_21'!$K$9:$K$761,"CKZ Ziębice")</f>
        <v>0</v>
      </c>
      <c r="Q75" s="104">
        <f>SUMIFS('2 stopień 20_21'!$I$9:$I$761,'2 stopień 20_21'!$G$9:$G$761,"MOD.01.",'2 stopień 20_21'!$K$9:$K$761,"CKZ Dobrodzień")</f>
        <v>0</v>
      </c>
      <c r="R75" s="104">
        <f>SUMIFS('2 stopień 20_21'!$I$9:$I$761,'2 stopień 20_21'!$G$9:$G$761,"MOD.01.",'2 stopień 20_21'!$K$9:$K$761,"CKZ Głubczyce")</f>
        <v>0</v>
      </c>
      <c r="S75" s="104">
        <f>SUMIFS('2 stopień 20_21'!$I$9:$I$761,'2 stopień 20_21'!$G$9:$G$761,"MOD.01.",'2 stopień 20_21'!$K$9:$K$761,"CKZ Kędzierzyn Koźle")</f>
        <v>0</v>
      </c>
      <c r="T75" s="104">
        <f>SUMIFS('2 stopień 20_21'!$I$9:$I$761,'2 stopień 20_21'!$G$9:$G$761,"MOD.01.",'2 stopień 20_21'!$K$9:$K$761,"CKZ Kluczbork")</f>
        <v>0</v>
      </c>
      <c r="U75" s="104">
        <f>SUMIFS('2 stopień 20_21'!$I$9:$I$761,'2 stopień 20_21'!$G$9:$G$761,"MOD.01.",'2 stopień 20_21'!$K$9:$K$761,"CKZ Krotoszyn")</f>
        <v>0</v>
      </c>
      <c r="V75" s="104">
        <f>SUMIFS('2 stopień 20_21'!$I$9:$I$761,'2 stopień 20_21'!$G$9:$G$761,"MOD.01.",'2 stopień 20_21'!$K$9:$K$761,"CKZ Olkusz")</f>
        <v>0</v>
      </c>
      <c r="W75" s="104">
        <f>SUMIFS('2 stopień 20_21'!$I$9:$I$761,'2 stopień 20_21'!$G$9:$G$761,"MOD.01.",'2 stopień 20_21'!$K$9:$K$761,"CKZ Wschowa")</f>
        <v>0</v>
      </c>
      <c r="X75" s="104">
        <f>SUMIFS('2 stopień 20_21'!$I$9:$I$761,'2 stopień 20_21'!$G$9:$G$761,"MOD.01.",'2 stopień 20_21'!$K$9:$K$761,"CKZ Zielona Góra")</f>
        <v>0</v>
      </c>
      <c r="Y75" s="104">
        <f>SUMIFS('2 stopień 20_21'!$I$9:$I$761,'2 stopień 20_21'!$G$9:$G$761,"MOD.01.",'2 stopień 20_21'!$K$9:$K$761,"Rzemieślnicza Wałbrzych")</f>
        <v>0</v>
      </c>
      <c r="Z75" s="104">
        <f>SUMIFS('2 stopień 20_21'!$I$9:$I$761,'2 stopień 20_21'!$G$9:$G$761,"MOD.01.",'2 stopień 20_21'!$K$9:$K$761,"CKZ Mosina")</f>
        <v>0</v>
      </c>
      <c r="AA75" s="104">
        <f>SUMIFS('2 stopień 20_21'!$I$9:$I$761,'2 stopień 20_21'!$G$9:$G$761,"MOD.01.",'2 stopień 20_21'!$K$9:$K$761,"CKZ Słupsk")</f>
        <v>0</v>
      </c>
      <c r="AB75" s="104">
        <f>SUMIFS('2 stopień 20_21'!$I$9:$I$761,'2 stopień 20_21'!$G$9:$G$761,"MOD.01.",'2 stopień 20_21'!$K$9:$K$761,"CKZ Opole")</f>
        <v>0</v>
      </c>
      <c r="AC75" s="104">
        <f>SUMIFS('2 stopień 20_21'!$I$9:$I$761,'2 stopień 20_21'!$G$9:$G$761,"MOD.01.",'2 stopień 20_21'!$K$9:$K$761,"CKZ Wrocław")</f>
        <v>0</v>
      </c>
      <c r="AD75" s="104">
        <f>SUMIFS('2 stopień 20_21'!$I$9:$I$761,'2 stopień 20_21'!$G$9:$G$761,"MOD.01.",'2 stopień 20_21'!$K$9:$K$761,"Brzeg Dolny")</f>
        <v>0</v>
      </c>
      <c r="AE75" s="104">
        <f>SUMIFS('2 stopień 20_21'!$I$9:$I$761,'2 stopień 20_21'!$G$9:$G$761,"MOD.01.",'2 stopień 20_21'!$K$9:$K$761,"")</f>
        <v>0</v>
      </c>
      <c r="AF75" s="105">
        <f t="shared" si="1"/>
        <v>0</v>
      </c>
    </row>
    <row r="76" spans="2:32">
      <c r="B76" s="106" t="s">
        <v>640</v>
      </c>
      <c r="C76" s="107">
        <v>753702</v>
      </c>
      <c r="D76" s="107" t="s">
        <v>811</v>
      </c>
      <c r="E76" s="106" t="s">
        <v>810</v>
      </c>
      <c r="F76" s="103">
        <f>SUMIF('2 stopień 20_21'!G$9:G$761,"MOD.02.",'2 stopień 20_21'!I$9:I$761)</f>
        <v>0</v>
      </c>
      <c r="G76" s="104">
        <f>SUMIFS('2 stopień 20_21'!$I$9:$I$761,'2 stopień 20_21'!$G$9:$G$761,"MOD.02.",'2 stopień 20_21'!$K$9:$K$761,"CKZ Bielawa")</f>
        <v>0</v>
      </c>
      <c r="H76" s="104">
        <f>SUMIFS('2 stopień 20_21'!$I$9:$I$761,'2 stopień 20_21'!$G$9:$G$761,"MOD.02.",'2 stopień 20_21'!$K$9:$K$761,"GCKZ Głogów")</f>
        <v>0</v>
      </c>
      <c r="I76" s="104">
        <f>SUMIFS('2 stopień 20_21'!$I$9:$I$761,'2 stopień 20_21'!$G$9:$G$761,"MOD.02.",'2 stopień 20_21'!$K$9:$K$761,"CKZ Jawor")</f>
        <v>0</v>
      </c>
      <c r="J76" s="104">
        <f>SUMIFS('2 stopień 20_21'!$I$9:$I$761,'2 stopień 20_21'!$G$9:$G$761,"MOD.02.",'2 stopień 20_21'!$K$9:$K$761,"JCKZ Jelenia Góra")</f>
        <v>0</v>
      </c>
      <c r="K76" s="104">
        <f>SUMIFS('2 stopień 20_21'!$I$9:$I$761,'2 stopień 20_21'!$G$9:$G$761,"MOD.02.",'2 stopień 20_21'!$K$9:$K$761,"CKZ Kłodzko")</f>
        <v>0</v>
      </c>
      <c r="L76" s="104">
        <f>SUMIFS('2 stopień 20_21'!$I$9:$I$761,'2 stopień 20_21'!$G$9:$G$761,"MOD.02.",'2 stopień 20_21'!$K$9:$K$761,"CKZ Legnica")</f>
        <v>0</v>
      </c>
      <c r="M76" s="104">
        <f>SUMIFS('2 stopień 20_21'!$I$9:$I$761,'2 stopień 20_21'!$G$9:$G$761,"MOD.02.",'2 stopień 20_21'!$K$9:$K$761,"CKZ Oleśnica")</f>
        <v>0</v>
      </c>
      <c r="N76" s="104">
        <f>SUMIFS('2 stopień 20_21'!$I$9:$I$761,'2 stopień 20_21'!$G$9:$G$761,"MOD.02.",'2 stopień 20_21'!$K$9:$K$761,"CKZ Świdnica")</f>
        <v>0</v>
      </c>
      <c r="O76" s="104">
        <f>SUMIFS('2 stopień 20_21'!$I$9:$I$761,'2 stopień 20_21'!$G$9:$G$761,"MOD.02.",'2 stopień 20_21'!$K$9:$K$761,"CKZ Wołów")</f>
        <v>0</v>
      </c>
      <c r="P76" s="104">
        <f>SUMIFS('2 stopień 20_21'!$I$9:$I$761,'2 stopień 20_21'!$G$9:$G$761,"MOD.02.",'2 stopień 20_21'!$K$9:$K$761,"CKZ Ziębice")</f>
        <v>0</v>
      </c>
      <c r="Q76" s="104">
        <f>SUMIFS('2 stopień 20_21'!$I$9:$I$761,'2 stopień 20_21'!$G$9:$G$761,"MOD.02.",'2 stopień 20_21'!$K$9:$K$761,"CKZ Dobrodzień")</f>
        <v>0</v>
      </c>
      <c r="R76" s="104">
        <f>SUMIFS('2 stopień 20_21'!$I$9:$I$761,'2 stopień 20_21'!$G$9:$G$761,"MOD.02.",'2 stopień 20_21'!$K$9:$K$761,"CKZ Głubczyce")</f>
        <v>0</v>
      </c>
      <c r="S76" s="104">
        <f>SUMIFS('2 stopień 20_21'!$I$9:$I$761,'2 stopień 20_21'!$G$9:$G$761,"MOD.02.",'2 stopień 20_21'!$K$9:$K$761,"CKZ Kędzierzyn Koźle")</f>
        <v>0</v>
      </c>
      <c r="T76" s="104">
        <f>SUMIFS('2 stopień 20_21'!$I$9:$I$761,'2 stopień 20_21'!$G$9:$G$761,"MOD.02.",'2 stopień 20_21'!$K$9:$K$761,"CKZ Kluczbork")</f>
        <v>0</v>
      </c>
      <c r="U76" s="104">
        <f>SUMIFS('2 stopień 20_21'!$I$9:$I$761,'2 stopień 20_21'!$G$9:$G$761,"MOD.02.",'2 stopień 20_21'!$K$9:$K$761,"CKZ Krotoszyn")</f>
        <v>0</v>
      </c>
      <c r="V76" s="104">
        <f>SUMIFS('2 stopień 20_21'!$I$9:$I$761,'2 stopień 20_21'!$G$9:$G$761,"MOD.02.",'2 stopień 20_21'!$K$9:$K$761,"CKZ Olkusz")</f>
        <v>0</v>
      </c>
      <c r="W76" s="104">
        <f>SUMIFS('2 stopień 20_21'!$I$9:$I$761,'2 stopień 20_21'!$G$9:$G$761,"MOD.02.",'2 stopień 20_21'!$K$9:$K$761,"CKZ Wschowa")</f>
        <v>0</v>
      </c>
      <c r="X76" s="104">
        <f>SUMIFS('2 stopień 20_21'!$I$9:$I$761,'2 stopień 20_21'!$G$9:$G$761,"MOD.02.",'2 stopień 20_21'!$K$9:$K$761,"CKZ Zielona Góra")</f>
        <v>0</v>
      </c>
      <c r="Y76" s="104">
        <f>SUMIFS('2 stopień 20_21'!$I$9:$I$761,'2 stopień 20_21'!$G$9:$G$761,"MOD.02.",'2 stopień 20_21'!$K$9:$K$761,"Rzemieślnicza Wałbrzych")</f>
        <v>0</v>
      </c>
      <c r="Z76" s="104">
        <f>SUMIFS('2 stopień 20_21'!$I$9:$I$761,'2 stopień 20_21'!$G$9:$G$761,"MOD.02.",'2 stopień 20_21'!$K$9:$K$761,"CKZ Mosina")</f>
        <v>0</v>
      </c>
      <c r="AA76" s="104">
        <f>SUMIFS('2 stopień 20_21'!$I$9:$I$761,'2 stopień 20_21'!$G$9:$G$761,"MOD.02.",'2 stopień 20_21'!$K$9:$K$761,"CKZ Słupsk")</f>
        <v>0</v>
      </c>
      <c r="AB76" s="104">
        <f>SUMIFS('2 stopień 20_21'!$I$9:$I$761,'2 stopień 20_21'!$G$9:$G$761,"MOD.02.",'2 stopień 20_21'!$K$9:$K$761,"CKZ Opole")</f>
        <v>0</v>
      </c>
      <c r="AC76" s="104">
        <f>SUMIFS('2 stopień 20_21'!$I$9:$I$761,'2 stopień 20_21'!$G$9:$G$761,"MOD.02.",'2 stopień 20_21'!$K$9:$K$761,"CKZ Wrocław")</f>
        <v>0</v>
      </c>
      <c r="AD76" s="104">
        <f>SUMIFS('2 stopień 20_21'!$I$9:$I$761,'2 stopień 20_21'!$G$9:$G$761,"MOD.02.",'2 stopień 20_21'!$K$9:$K$761,"Brzeg Dolny")</f>
        <v>0</v>
      </c>
      <c r="AE76" s="104">
        <f>SUMIFS('2 stopień 20_21'!$I$9:$I$761,'2 stopień 20_21'!$G$9:$G$761,"MOD.02.",'2 stopień 20_21'!$K$9:$K$761,"")</f>
        <v>0</v>
      </c>
      <c r="AF76" s="105">
        <f t="shared" si="1"/>
        <v>0</v>
      </c>
    </row>
    <row r="77" spans="2:32">
      <c r="B77" s="106" t="s">
        <v>641</v>
      </c>
      <c r="C77" s="107">
        <v>753105</v>
      </c>
      <c r="D77" s="107" t="s">
        <v>809</v>
      </c>
      <c r="E77" s="106" t="s">
        <v>808</v>
      </c>
      <c r="F77" s="103">
        <f>SUMIF('2 stopień 20_21'!G$9:G$761,"MOD.03.",'2 stopień 20_21'!I$9:I$761)</f>
        <v>4</v>
      </c>
      <c r="G77" s="104">
        <f>SUMIFS('2 stopień 20_21'!$I$9:$I$761,'2 stopień 20_21'!$G$9:$G$761,"MOD.03.",'2 stopień 20_21'!$K$9:$K$761,"CKZ Bielawa")</f>
        <v>0</v>
      </c>
      <c r="H77" s="104">
        <f>SUMIFS('2 stopień 20_21'!$I$9:$I$761,'2 stopień 20_21'!$G$9:$G$761,"MOD.03.",'2 stopień 20_21'!$K$9:$K$761,"GCKZ Głogów")</f>
        <v>0</v>
      </c>
      <c r="I77" s="104">
        <f>SUMIFS('2 stopień 20_21'!$I$9:$I$761,'2 stopień 20_21'!$G$9:$G$761,"MOD.03.",'2 stopień 20_21'!$K$9:$K$761,"CKZ Jawor")</f>
        <v>0</v>
      </c>
      <c r="J77" s="104">
        <f>SUMIFS('2 stopień 20_21'!$I$9:$I$761,'2 stopień 20_21'!$G$9:$G$761,"MOD.03.",'2 stopień 20_21'!$K$9:$K$761,"JCKZ Jelenia Góra")</f>
        <v>0</v>
      </c>
      <c r="K77" s="104">
        <f>SUMIFS('2 stopień 20_21'!$I$9:$I$761,'2 stopień 20_21'!$G$9:$G$761,"MOD.03.",'2 stopień 20_21'!$K$9:$K$761,"CKZ Kłodzko")</f>
        <v>0</v>
      </c>
      <c r="L77" s="104">
        <f>SUMIFS('2 stopień 20_21'!$I$9:$I$761,'2 stopień 20_21'!$G$9:$G$761,"MOD.03.",'2 stopień 20_21'!$K$9:$K$761,"CKZ Legnica")</f>
        <v>0</v>
      </c>
      <c r="M77" s="104">
        <f>SUMIFS('2 stopień 20_21'!$I$9:$I$761,'2 stopień 20_21'!$G$9:$G$761,"MOD.03.",'2 stopień 20_21'!$K$9:$K$761,"CKZ Oleśnica")</f>
        <v>0</v>
      </c>
      <c r="N77" s="104">
        <f>SUMIFS('2 stopień 20_21'!$I$9:$I$761,'2 stopień 20_21'!$G$9:$G$761,"MOD.03.",'2 stopień 20_21'!$K$9:$K$761,"CKZ Świdnica")</f>
        <v>0</v>
      </c>
      <c r="O77" s="104">
        <f>SUMIFS('2 stopień 20_21'!$I$9:$I$761,'2 stopień 20_21'!$G$9:$G$761,"MOD.03.",'2 stopień 20_21'!$K$9:$K$761,"CKZ Wołów")</f>
        <v>0</v>
      </c>
      <c r="P77" s="104">
        <f>SUMIFS('2 stopień 20_21'!$I$9:$I$761,'2 stopień 20_21'!$G$9:$G$761,"MOD.03.",'2 stopień 20_21'!$K$9:$K$761,"CKZ Ziębice")</f>
        <v>0</v>
      </c>
      <c r="Q77" s="104">
        <f>SUMIFS('2 stopień 20_21'!$I$9:$I$761,'2 stopień 20_21'!$G$9:$G$761,"MOD.03.",'2 stopień 20_21'!$K$9:$K$761,"CKZ Dobrodzień")</f>
        <v>0</v>
      </c>
      <c r="R77" s="104">
        <f>SUMIFS('2 stopień 20_21'!$I$9:$I$761,'2 stopień 20_21'!$G$9:$G$761,"MOD.03.",'2 stopień 20_21'!$K$9:$K$761,"CKZ Głubczyce")</f>
        <v>0</v>
      </c>
      <c r="S77" s="104">
        <f>SUMIFS('2 stopień 20_21'!$I$9:$I$761,'2 stopień 20_21'!$G$9:$G$761,"MOD.03.",'2 stopień 20_21'!$K$9:$K$761,"CKZ Kędzierzyn Koźle")</f>
        <v>0</v>
      </c>
      <c r="T77" s="104">
        <f>SUMIFS('2 stopień 20_21'!$I$9:$I$761,'2 stopień 20_21'!$G$9:$G$761,"MOD.03.",'2 stopień 20_21'!$K$9:$K$761,"CKZ Kluczbork")</f>
        <v>0</v>
      </c>
      <c r="U77" s="104">
        <f>SUMIFS('2 stopień 20_21'!$I$9:$I$761,'2 stopień 20_21'!$G$9:$G$761,"MOD.03.",'2 stopień 20_21'!$K$9:$K$761,"CKZ Krotoszyn")</f>
        <v>0</v>
      </c>
      <c r="V77" s="104">
        <f>SUMIFS('2 stopień 20_21'!$I$9:$I$761,'2 stopień 20_21'!$G$9:$G$761,"MOD.03.",'2 stopień 20_21'!$K$9:$K$761,"CKZ Olkusz")</f>
        <v>0</v>
      </c>
      <c r="W77" s="104">
        <f>SUMIFS('2 stopień 20_21'!$I$9:$I$761,'2 stopień 20_21'!$G$9:$G$761,"MOD.03.",'2 stopień 20_21'!$K$9:$K$761,"CKZ Wschowa")</f>
        <v>0</v>
      </c>
      <c r="X77" s="104">
        <f>SUMIFS('2 stopień 20_21'!$I$9:$I$761,'2 stopień 20_21'!$G$9:$G$761,"MOD.03.",'2 stopień 20_21'!$K$9:$K$761,"CKZ Zielona Góra")</f>
        <v>4</v>
      </c>
      <c r="Y77" s="104">
        <f>SUMIFS('2 stopień 20_21'!$I$9:$I$761,'2 stopień 20_21'!$G$9:$G$761,"MOD.03.",'2 stopień 20_21'!$K$9:$K$761,"Rzemieślnicza Wałbrzych")</f>
        <v>0</v>
      </c>
      <c r="Z77" s="104">
        <f>SUMIFS('2 stopień 20_21'!$I$9:$I$761,'2 stopień 20_21'!$G$9:$G$761,"MOD.03.",'2 stopień 20_21'!$K$9:$K$761,"CKZ Mosina")</f>
        <v>0</v>
      </c>
      <c r="AA77" s="104">
        <f>SUMIFS('2 stopień 20_21'!$I$9:$I$761,'2 stopień 20_21'!$G$9:$G$761,"MOD.03.",'2 stopień 20_21'!$K$9:$K$761,"CKZ Słupsk")</f>
        <v>0</v>
      </c>
      <c r="AB77" s="104">
        <f>SUMIFS('2 stopień 20_21'!$I$9:$I$761,'2 stopień 20_21'!$G$9:$G$761,"MOD.03.",'2 stopień 20_21'!$K$9:$K$761,"CKZ Opole")</f>
        <v>0</v>
      </c>
      <c r="AC77" s="104">
        <f>SUMIFS('2 stopień 20_21'!$I$9:$I$761,'2 stopień 20_21'!$G$9:$G$761,"MOD.03.",'2 stopień 20_21'!$K$9:$K$761,"CKZ Wrocław")</f>
        <v>0</v>
      </c>
      <c r="AD77" s="104">
        <f>SUMIFS('2 stopień 20_21'!$I$9:$I$761,'2 stopień 20_21'!$G$9:$G$761,"MOD.03.",'2 stopień 20_21'!$K$9:$K$761,"Brzeg Dolny")</f>
        <v>0</v>
      </c>
      <c r="AE77" s="104">
        <f>SUMIFS('2 stopień 20_21'!$I$9:$I$761,'2 stopień 20_21'!$G$9:$G$761,"MOD.03.",'2 stopień 20_21'!$K$9:$K$761,"")</f>
        <v>0</v>
      </c>
      <c r="AF77" s="105">
        <f t="shared" si="1"/>
        <v>4</v>
      </c>
    </row>
    <row r="78" spans="2:32">
      <c r="B78" s="106" t="s">
        <v>642</v>
      </c>
      <c r="C78" s="107">
        <v>753106</v>
      </c>
      <c r="D78" s="107" t="s">
        <v>807</v>
      </c>
      <c r="E78" s="106" t="s">
        <v>806</v>
      </c>
      <c r="F78" s="103">
        <f>SUMIF('2 stopień 20_21'!G$9:G$761,"MOD.04.",'2 stopień 20_21'!I$9:I$761)</f>
        <v>0</v>
      </c>
      <c r="G78" s="104">
        <f>SUMIFS('2 stopień 20_21'!$I$9:$I$761,'2 stopień 20_21'!$G$9:$G$761,"MOD.04.",'2 stopień 20_21'!$K$9:$K$761,"CKZ Bielawa")</f>
        <v>0</v>
      </c>
      <c r="H78" s="104">
        <f>SUMIFS('2 stopień 20_21'!$I$9:$I$761,'2 stopień 20_21'!$G$9:$G$761,"MOD.04.",'2 stopień 20_21'!$K$9:$K$761,"GCKZ Głogów")</f>
        <v>0</v>
      </c>
      <c r="I78" s="104">
        <f>SUMIFS('2 stopień 20_21'!$I$9:$I$761,'2 stopień 20_21'!$G$9:$G$761,"MOD.04.",'2 stopień 20_21'!$K$9:$K$761,"CKZ Jawor")</f>
        <v>0</v>
      </c>
      <c r="J78" s="104">
        <f>SUMIFS('2 stopień 20_21'!$I$9:$I$761,'2 stopień 20_21'!$G$9:$G$761,"MOD.04.",'2 stopień 20_21'!$K$9:$K$761,"JCKZ Jelenia Góra")</f>
        <v>0</v>
      </c>
      <c r="K78" s="104">
        <f>SUMIFS('2 stopień 20_21'!$I$9:$I$761,'2 stopień 20_21'!$G$9:$G$761,"MOD.04.",'2 stopień 20_21'!$K$9:$K$761,"CKZ Kłodzko")</f>
        <v>0</v>
      </c>
      <c r="L78" s="104">
        <f>SUMIFS('2 stopień 20_21'!$I$9:$I$761,'2 stopień 20_21'!$G$9:$G$761,"MOD.04.",'2 stopień 20_21'!$K$9:$K$761,"CKZ Legnica")</f>
        <v>0</v>
      </c>
      <c r="M78" s="104">
        <f>SUMIFS('2 stopień 20_21'!$I$9:$I$761,'2 stopień 20_21'!$G$9:$G$761,"MOD.04.",'2 stopień 20_21'!$K$9:$K$761,"CKZ Oleśnica")</f>
        <v>0</v>
      </c>
      <c r="N78" s="104">
        <f>SUMIFS('2 stopień 20_21'!$I$9:$I$761,'2 stopień 20_21'!$G$9:$G$761,"MOD.04.",'2 stopień 20_21'!$K$9:$K$761,"CKZ Świdnica")</f>
        <v>0</v>
      </c>
      <c r="O78" s="104">
        <f>SUMIFS('2 stopień 20_21'!$I$9:$I$761,'2 stopień 20_21'!$G$9:$G$761,"MOD.04.",'2 stopień 20_21'!$K$9:$K$761,"CKZ Wołów")</f>
        <v>0</v>
      </c>
      <c r="P78" s="104">
        <f>SUMIFS('2 stopień 20_21'!$I$9:$I$761,'2 stopień 20_21'!$G$9:$G$761,"MOD.04.",'2 stopień 20_21'!$K$9:$K$761,"CKZ Ziębice")</f>
        <v>0</v>
      </c>
      <c r="Q78" s="104">
        <f>SUMIFS('2 stopień 20_21'!$I$9:$I$761,'2 stopień 20_21'!$G$9:$G$761,"MOD.04.",'2 stopień 20_21'!$K$9:$K$761,"CKZ Dobrodzień")</f>
        <v>0</v>
      </c>
      <c r="R78" s="104">
        <f>SUMIFS('2 stopień 20_21'!$I$9:$I$761,'2 stopień 20_21'!$G$9:$G$761,"MOD.04.",'2 stopień 20_21'!$K$9:$K$761,"CKZ Głubczyce")</f>
        <v>0</v>
      </c>
      <c r="S78" s="104">
        <f>SUMIFS('2 stopień 20_21'!$I$9:$I$761,'2 stopień 20_21'!$G$9:$G$761,"MOD.04.",'2 stopień 20_21'!$K$9:$K$761,"CKZ Kędzierzyn Koźle")</f>
        <v>0</v>
      </c>
      <c r="T78" s="104">
        <f>SUMIFS('2 stopień 20_21'!$I$9:$I$761,'2 stopień 20_21'!$G$9:$G$761,"MOD.04.",'2 stopień 20_21'!$K$9:$K$761,"CKZ Kluczbork")</f>
        <v>0</v>
      </c>
      <c r="U78" s="104">
        <f>SUMIFS('2 stopień 20_21'!$I$9:$I$761,'2 stopień 20_21'!$G$9:$G$761,"MOD.04.",'2 stopień 20_21'!$K$9:$K$761,"CKZ Krotoszyn")</f>
        <v>0</v>
      </c>
      <c r="V78" s="104">
        <f>SUMIFS('2 stopień 20_21'!$I$9:$I$761,'2 stopień 20_21'!$G$9:$G$761,"MOD.04.",'2 stopień 20_21'!$K$9:$K$761,"CKZ Olkusz")</f>
        <v>0</v>
      </c>
      <c r="W78" s="104">
        <f>SUMIFS('2 stopień 20_21'!$I$9:$I$761,'2 stopień 20_21'!$G$9:$G$761,"MOD.04.",'2 stopień 20_21'!$K$9:$K$761,"CKZ Wschowa")</f>
        <v>0</v>
      </c>
      <c r="X78" s="104">
        <f>SUMIFS('2 stopień 20_21'!$I$9:$I$761,'2 stopień 20_21'!$G$9:$G$761,"MOD.04.",'2 stopień 20_21'!$K$9:$K$761,"CKZ Zielona Góra")</f>
        <v>0</v>
      </c>
      <c r="Y78" s="104">
        <f>SUMIFS('2 stopień 20_21'!$I$9:$I$761,'2 stopień 20_21'!$G$9:$G$761,"MOD.04.",'2 stopień 20_21'!$K$9:$K$761,"Rzemieślnicza Wałbrzych")</f>
        <v>0</v>
      </c>
      <c r="Z78" s="104">
        <f>SUMIFS('2 stopień 20_21'!$I$9:$I$761,'2 stopień 20_21'!$G$9:$G$761,"MOD.04.",'2 stopień 20_21'!$K$9:$K$761,"CKZ Mosina")</f>
        <v>0</v>
      </c>
      <c r="AA78" s="104">
        <f>SUMIFS('2 stopień 20_21'!$I$9:$I$761,'2 stopień 20_21'!$G$9:$G$761,"MOD.04.",'2 stopień 20_21'!$K$9:$K$761,"CKZ Słupsk")</f>
        <v>0</v>
      </c>
      <c r="AB78" s="104">
        <f>SUMIFS('2 stopień 20_21'!$I$9:$I$761,'2 stopień 20_21'!$G$9:$G$761,"MOD.04.",'2 stopień 20_21'!$K$9:$K$761,"CKZ Opole")</f>
        <v>0</v>
      </c>
      <c r="AC78" s="104">
        <f>SUMIFS('2 stopień 20_21'!$I$9:$I$761,'2 stopień 20_21'!$G$9:$G$761,"MOD.04.",'2 stopień 20_21'!$K$9:$K$761,"CKZ Wrocław")</f>
        <v>0</v>
      </c>
      <c r="AD78" s="104">
        <f>SUMIFS('2 stopień 20_21'!$I$9:$I$761,'2 stopień 20_21'!$G$9:$G$761,"MOD.04.",'2 stopień 20_21'!$K$9:$K$761,"Brzeg Dolny")</f>
        <v>0</v>
      </c>
      <c r="AE78" s="104">
        <f>SUMIFS('2 stopień 20_21'!$I$9:$I$761,'2 stopień 20_21'!$G$9:$G$761,"MOD.04.",'2 stopień 20_21'!$K$9:$K$761,"")</f>
        <v>0</v>
      </c>
      <c r="AF78" s="105">
        <f t="shared" si="1"/>
        <v>0</v>
      </c>
    </row>
    <row r="79" spans="2:32" ht="15.75" customHeight="1">
      <c r="B79" s="106" t="s">
        <v>643</v>
      </c>
      <c r="C79" s="107">
        <v>753602</v>
      </c>
      <c r="D79" s="107" t="s">
        <v>805</v>
      </c>
      <c r="E79" s="106" t="s">
        <v>804</v>
      </c>
      <c r="F79" s="103">
        <f>SUMIF('2 stopień 20_21'!G$9:G$761,"MOD.05.",'2 stopień 20_21'!I$9:I$761)</f>
        <v>0</v>
      </c>
      <c r="G79" s="104">
        <f>SUMIFS('2 stopień 20_21'!$I$9:$I$761,'2 stopień 20_21'!$G$9:$G$761,"MOD.05.",'2 stopień 20_21'!$K$9:$K$761,"CKZ Bielawa")</f>
        <v>0</v>
      </c>
      <c r="H79" s="104">
        <f>SUMIFS('2 stopień 20_21'!$I$9:$I$761,'2 stopień 20_21'!$G$9:$G$761,"MOD.05.",'2 stopień 20_21'!$K$9:$K$761,"GCKZ Głogów")</f>
        <v>0</v>
      </c>
      <c r="I79" s="104">
        <f>SUMIFS('2 stopień 20_21'!$I$9:$I$761,'2 stopień 20_21'!$G$9:$G$761,"MOD.05.",'2 stopień 20_21'!$K$9:$K$761,"CKZ Jawor")</f>
        <v>0</v>
      </c>
      <c r="J79" s="104">
        <f>SUMIFS('2 stopień 20_21'!$I$9:$I$761,'2 stopień 20_21'!$G$9:$G$761,"MOD.05.",'2 stopień 20_21'!$K$9:$K$761,"JCKZ Jelenia Góra")</f>
        <v>0</v>
      </c>
      <c r="K79" s="104">
        <f>SUMIFS('2 stopień 20_21'!$I$9:$I$761,'2 stopień 20_21'!$G$9:$G$761,"MOD.05.",'2 stopień 20_21'!$K$9:$K$761,"CKZ Kłodzko")</f>
        <v>0</v>
      </c>
      <c r="L79" s="104">
        <f>SUMIFS('2 stopień 20_21'!$I$9:$I$761,'2 stopień 20_21'!$G$9:$G$761,"MOD.05.",'2 stopień 20_21'!$K$9:$K$761,"CKZ Legnica")</f>
        <v>0</v>
      </c>
      <c r="M79" s="104">
        <f>SUMIFS('2 stopień 20_21'!$I$9:$I$761,'2 stopień 20_21'!$G$9:$G$761,"MOD.05.",'2 stopień 20_21'!$K$9:$K$761,"CKZ Oleśnica")</f>
        <v>0</v>
      </c>
      <c r="N79" s="104">
        <f>SUMIFS('2 stopień 20_21'!$I$9:$I$761,'2 stopień 20_21'!$G$9:$G$761,"MOD.05.",'2 stopień 20_21'!$K$9:$K$761,"CKZ Świdnica")</f>
        <v>0</v>
      </c>
      <c r="O79" s="104">
        <f>SUMIFS('2 stopień 20_21'!$I$9:$I$761,'2 stopień 20_21'!$G$9:$G$761,"MOD.05.",'2 stopień 20_21'!$K$9:$K$761,"CKZ Wołów")</f>
        <v>0</v>
      </c>
      <c r="P79" s="104">
        <f>SUMIFS('2 stopień 20_21'!$I$9:$I$761,'2 stopień 20_21'!$G$9:$G$761,"MOD.05.",'2 stopień 20_21'!$K$9:$K$761,"CKZ Ziębice")</f>
        <v>0</v>
      </c>
      <c r="Q79" s="104">
        <f>SUMIFS('2 stopień 20_21'!$I$9:$I$761,'2 stopień 20_21'!$G$9:$G$761,"MOD.05.",'2 stopień 20_21'!$K$9:$K$761,"CKZ Dobrodzień")</f>
        <v>0</v>
      </c>
      <c r="R79" s="104">
        <f>SUMIFS('2 stopień 20_21'!$I$9:$I$761,'2 stopień 20_21'!$G$9:$G$761,"MOD.05.",'2 stopień 20_21'!$K$9:$K$761,"CKZ Głubczyce")</f>
        <v>0</v>
      </c>
      <c r="S79" s="104">
        <f>SUMIFS('2 stopień 20_21'!$I$9:$I$761,'2 stopień 20_21'!$G$9:$G$761,"MOD.05.",'2 stopień 20_21'!$K$9:$K$761,"CKZ Kędzierzyn Koźle")</f>
        <v>0</v>
      </c>
      <c r="T79" s="104">
        <f>SUMIFS('2 stopień 20_21'!$I$9:$I$761,'2 stopień 20_21'!$G$9:$G$761,"MOD.05.",'2 stopień 20_21'!$K$9:$K$761,"CKZ Kluczbork")</f>
        <v>0</v>
      </c>
      <c r="U79" s="104">
        <f>SUMIFS('2 stopień 20_21'!$I$9:$I$761,'2 stopień 20_21'!$G$9:$G$761,"MOD.05.",'2 stopień 20_21'!$K$9:$K$761,"CKZ Krotoszyn")</f>
        <v>0</v>
      </c>
      <c r="V79" s="104">
        <f>SUMIFS('2 stopień 20_21'!$I$9:$I$761,'2 stopień 20_21'!$G$9:$G$761,"MOD.05.",'2 stopień 20_21'!$K$9:$K$761,"CKZ Olkusz")</f>
        <v>0</v>
      </c>
      <c r="W79" s="104">
        <f>SUMIFS('2 stopień 20_21'!$I$9:$I$761,'2 stopień 20_21'!$G$9:$G$761,"MOD.05.",'2 stopień 20_21'!$K$9:$K$761,"CKZ Wschowa")</f>
        <v>0</v>
      </c>
      <c r="X79" s="104">
        <f>SUMIFS('2 stopień 20_21'!$I$9:$I$761,'2 stopień 20_21'!$G$9:$G$761,"MOD.05.",'2 stopień 20_21'!$K$9:$K$761,"CKZ Zielona Góra")</f>
        <v>0</v>
      </c>
      <c r="Y79" s="104">
        <f>SUMIFS('2 stopień 20_21'!$I$9:$I$761,'2 stopień 20_21'!$G$9:$G$761,"MOD.05.",'2 stopień 20_21'!$K$9:$K$761,"Rzemieślnicza Wałbrzych")</f>
        <v>0</v>
      </c>
      <c r="Z79" s="104">
        <f>SUMIFS('2 stopień 20_21'!$I$9:$I$761,'2 stopień 20_21'!$G$9:$G$761,"MOD.05.",'2 stopień 20_21'!$K$9:$K$761,"CKZ Mosina")</f>
        <v>0</v>
      </c>
      <c r="AA79" s="104">
        <f>SUMIFS('2 stopień 20_21'!$I$9:$I$761,'2 stopień 20_21'!$G$9:$G$761,"MOD.05.",'2 stopień 20_21'!$K$9:$K$761,"CKZ Słupsk")</f>
        <v>0</v>
      </c>
      <c r="AB79" s="104">
        <f>SUMIFS('2 stopień 20_21'!$I$9:$I$761,'2 stopień 20_21'!$G$9:$G$761,"MOD.05.",'2 stopień 20_21'!$K$9:$K$761,"CKZ Opole")</f>
        <v>0</v>
      </c>
      <c r="AC79" s="104">
        <f>SUMIFS('2 stopień 20_21'!$I$9:$I$761,'2 stopień 20_21'!$G$9:$G$761,"MOD.05.",'2 stopień 20_21'!$K$9:$K$761,"CKZ Wrocław")</f>
        <v>0</v>
      </c>
      <c r="AD79" s="104">
        <f>SUMIFS('2 stopień 20_21'!$I$9:$I$761,'2 stopień 20_21'!$G$9:$G$761,"MOD.05.",'2 stopień 20_21'!$K$9:$K$761,"Brzeg Dolny")</f>
        <v>0</v>
      </c>
      <c r="AE79" s="104">
        <f>SUMIFS('2 stopień 20_21'!$I$9:$I$761,'2 stopień 20_21'!$G$9:$G$761,"MOD.05.",'2 stopień 20_21'!$K$9:$K$761,"")</f>
        <v>0</v>
      </c>
      <c r="AF79" s="105">
        <f t="shared" si="1"/>
        <v>0</v>
      </c>
    </row>
    <row r="80" spans="2:32">
      <c r="B80" s="106" t="s">
        <v>644</v>
      </c>
      <c r="C80" s="107">
        <v>815204</v>
      </c>
      <c r="D80" s="107" t="s">
        <v>803</v>
      </c>
      <c r="E80" s="106" t="s">
        <v>802</v>
      </c>
      <c r="F80" s="103">
        <f>SUMIF('2 stopień 20_21'!G$9:G$761,"MOD.06.",'2 stopień 20_21'!I$9:I$761)</f>
        <v>0</v>
      </c>
      <c r="G80" s="104">
        <f>SUMIFS('2 stopień 20_21'!$I$9:$I$761,'2 stopień 20_21'!$G$9:$G$761,"MOD.06.",'2 stopień 20_21'!$K$9:$K$761,"CKZ Bielawa")</f>
        <v>0</v>
      </c>
      <c r="H80" s="104">
        <f>SUMIFS('2 stopień 20_21'!$I$9:$I$761,'2 stopień 20_21'!$G$9:$G$761,"MOD.06.",'2 stopień 20_21'!$K$9:$K$761,"GCKZ Głogów")</f>
        <v>0</v>
      </c>
      <c r="I80" s="104">
        <f>SUMIFS('2 stopień 20_21'!$I$9:$I$761,'2 stopień 20_21'!$G$9:$G$761,"MOD.06.",'2 stopień 20_21'!$K$9:$K$761,"CKZ Jawor")</f>
        <v>0</v>
      </c>
      <c r="J80" s="104">
        <f>SUMIFS('2 stopień 20_21'!$I$9:$I$761,'2 stopień 20_21'!$G$9:$G$761,"MOD.06.",'2 stopień 20_21'!$K$9:$K$761,"JCKZ Jelenia Góra")</f>
        <v>0</v>
      </c>
      <c r="K80" s="104">
        <f>SUMIFS('2 stopień 20_21'!$I$9:$I$761,'2 stopień 20_21'!$G$9:$G$761,"MOD.06.",'2 stopień 20_21'!$K$9:$K$761,"CKZ Kłodzko")</f>
        <v>0</v>
      </c>
      <c r="L80" s="104">
        <f>SUMIFS('2 stopień 20_21'!$I$9:$I$761,'2 stopień 20_21'!$G$9:$G$761,"MOD.06.",'2 stopień 20_21'!$K$9:$K$761,"CKZ Legnica")</f>
        <v>0</v>
      </c>
      <c r="M80" s="104">
        <f>SUMIFS('2 stopień 20_21'!$I$9:$I$761,'2 stopień 20_21'!$G$9:$G$761,"MOD.06.",'2 stopień 20_21'!$K$9:$K$761,"CKZ Oleśnica")</f>
        <v>0</v>
      </c>
      <c r="N80" s="104">
        <f>SUMIFS('2 stopień 20_21'!$I$9:$I$761,'2 stopień 20_21'!$G$9:$G$761,"MOD.06.",'2 stopień 20_21'!$K$9:$K$761,"CKZ Świdnica")</f>
        <v>0</v>
      </c>
      <c r="O80" s="104">
        <f>SUMIFS('2 stopień 20_21'!$I$9:$I$761,'2 stopień 20_21'!$G$9:$G$761,"MOD.06.",'2 stopień 20_21'!$K$9:$K$761,"CKZ Wołów")</f>
        <v>0</v>
      </c>
      <c r="P80" s="104">
        <f>SUMIFS('2 stopień 20_21'!$I$9:$I$761,'2 stopień 20_21'!$G$9:$G$761,"MOD.06.",'2 stopień 20_21'!$K$9:$K$761,"CKZ Ziębice")</f>
        <v>0</v>
      </c>
      <c r="Q80" s="104">
        <f>SUMIFS('2 stopień 20_21'!$I$9:$I$761,'2 stopień 20_21'!$G$9:$G$761,"MOD.06.",'2 stopień 20_21'!$K$9:$K$761,"CKZ Dobrodzień")</f>
        <v>0</v>
      </c>
      <c r="R80" s="104">
        <f>SUMIFS('2 stopień 20_21'!$I$9:$I$761,'2 stopień 20_21'!$G$9:$G$761,"MOD.06.",'2 stopień 20_21'!$K$9:$K$761,"CKZ Głubczyce")</f>
        <v>0</v>
      </c>
      <c r="S80" s="104">
        <f>SUMIFS('2 stopień 20_21'!$I$9:$I$761,'2 stopień 20_21'!$G$9:$G$761,"MOD.06.",'2 stopień 20_21'!$K$9:$K$761,"CKZ Kędzierzyn Koźle")</f>
        <v>0</v>
      </c>
      <c r="T80" s="104">
        <f>SUMIFS('2 stopień 20_21'!$I$9:$I$761,'2 stopień 20_21'!$G$9:$G$761,"MOD.06.",'2 stopień 20_21'!$K$9:$K$761,"CKZ Kluczbork")</f>
        <v>0</v>
      </c>
      <c r="U80" s="104">
        <f>SUMIFS('2 stopień 20_21'!$I$9:$I$761,'2 stopień 20_21'!$G$9:$G$761,"MOD.06.",'2 stopień 20_21'!$K$9:$K$761,"CKZ Krotoszyn")</f>
        <v>0</v>
      </c>
      <c r="V80" s="104">
        <f>SUMIFS('2 stopień 20_21'!$I$9:$I$761,'2 stopień 20_21'!$G$9:$G$761,"MOD.06.",'2 stopień 20_21'!$K$9:$K$761,"CKZ Olkusz")</f>
        <v>0</v>
      </c>
      <c r="W80" s="104">
        <f>SUMIFS('2 stopień 20_21'!$I$9:$I$761,'2 stopień 20_21'!$G$9:$G$761,"MOD.06.",'2 stopień 20_21'!$K$9:$K$761,"CKZ Wschowa")</f>
        <v>0</v>
      </c>
      <c r="X80" s="104">
        <f>SUMIFS('2 stopień 20_21'!$I$9:$I$761,'2 stopień 20_21'!$G$9:$G$761,"MOD.06.",'2 stopień 20_21'!$K$9:$K$761,"CKZ Zielona Góra")</f>
        <v>0</v>
      </c>
      <c r="Y80" s="104">
        <f>SUMIFS('2 stopień 20_21'!$I$9:$I$761,'2 stopień 20_21'!$G$9:$G$761,"MOD.06.",'2 stopień 20_21'!$K$9:$K$761,"Rzemieślnicza Wałbrzych")</f>
        <v>0</v>
      </c>
      <c r="Z80" s="104">
        <f>SUMIFS('2 stopień 20_21'!$I$9:$I$761,'2 stopień 20_21'!$G$9:$G$761,"MOD.06.",'2 stopień 20_21'!$K$9:$K$761,"CKZ Mosina")</f>
        <v>0</v>
      </c>
      <c r="AA80" s="104">
        <f>SUMIFS('2 stopień 20_21'!$I$9:$I$761,'2 stopień 20_21'!$G$9:$G$761,"MOD.06.",'2 stopień 20_21'!$K$9:$K$761,"CKZ Słupsk")</f>
        <v>0</v>
      </c>
      <c r="AB80" s="104">
        <f>SUMIFS('2 stopień 20_21'!$I$9:$I$761,'2 stopień 20_21'!$G$9:$G$761,"MOD.06.",'2 stopień 20_21'!$K$9:$K$761,"CKZ Opole")</f>
        <v>0</v>
      </c>
      <c r="AC80" s="104">
        <f>SUMIFS('2 stopień 20_21'!$I$9:$I$761,'2 stopień 20_21'!$G$9:$G$761,"MOD.06.",'2 stopień 20_21'!$K$9:$K$761,"CKZ Wrocław")</f>
        <v>0</v>
      </c>
      <c r="AD80" s="104">
        <f>SUMIFS('2 stopień 20_21'!$I$9:$I$761,'2 stopień 20_21'!$G$9:$G$761,"MOD.06.",'2 stopień 20_21'!$K$9:$K$761,"Brzeg Dolny")</f>
        <v>0</v>
      </c>
      <c r="AE80" s="104">
        <f>SUMIFS('2 stopień 20_21'!$I$9:$I$761,'2 stopień 20_21'!$G$9:$G$761,"MOD.06.",'2 stopień 20_21'!$K$9:$K$761,"")</f>
        <v>0</v>
      </c>
      <c r="AF80" s="105">
        <f t="shared" si="1"/>
        <v>0</v>
      </c>
    </row>
    <row r="81" spans="2:32">
      <c r="B81" s="106" t="s">
        <v>645</v>
      </c>
      <c r="C81" s="107">
        <v>932915</v>
      </c>
      <c r="D81" s="107" t="s">
        <v>801</v>
      </c>
      <c r="E81" s="106" t="s">
        <v>800</v>
      </c>
      <c r="F81" s="103">
        <f>SUMIF('2 stopień 20_21'!G$9:G$761,"MOD.07.",'2 stopień 20_21'!I$9:I$761)</f>
        <v>0</v>
      </c>
      <c r="G81" s="104">
        <f>SUMIFS('2 stopień 20_21'!$I$9:$I$761,'2 stopień 20_21'!$G$9:$G$761,"MOD.07.",'2 stopień 20_21'!$K$9:$K$761,"CKZ Bielawa")</f>
        <v>0</v>
      </c>
      <c r="H81" s="104">
        <f>SUMIFS('2 stopień 20_21'!$I$9:$I$761,'2 stopień 20_21'!$G$9:$G$761,"MOD.07.",'2 stopień 20_21'!$K$9:$K$761,"GCKZ Głogów")</f>
        <v>0</v>
      </c>
      <c r="I81" s="104">
        <f>SUMIFS('2 stopień 20_21'!$I$9:$I$761,'2 stopień 20_21'!$G$9:$G$761,"MOD.07.",'2 stopień 20_21'!$K$9:$K$761,"CKZ Jawor")</f>
        <v>0</v>
      </c>
      <c r="J81" s="104">
        <f>SUMIFS('2 stopień 20_21'!$I$9:$I$761,'2 stopień 20_21'!$G$9:$G$761,"MOD.07.",'2 stopień 20_21'!$K$9:$K$761,"JCKZ Jelenia Góra")</f>
        <v>0</v>
      </c>
      <c r="K81" s="104">
        <f>SUMIFS('2 stopień 20_21'!$I$9:$I$761,'2 stopień 20_21'!$G$9:$G$761,"MOD.07.",'2 stopień 20_21'!$K$9:$K$761,"CKZ Kłodzko")</f>
        <v>0</v>
      </c>
      <c r="L81" s="104">
        <f>SUMIFS('2 stopień 20_21'!$I$9:$I$761,'2 stopień 20_21'!$G$9:$G$761,"MOD.07.",'2 stopień 20_21'!$K$9:$K$761,"CKZ Legnica")</f>
        <v>0</v>
      </c>
      <c r="M81" s="104">
        <f>SUMIFS('2 stopień 20_21'!$I$9:$I$761,'2 stopień 20_21'!$G$9:$G$761,"MOD.07.",'2 stopień 20_21'!$K$9:$K$761,"CKZ Oleśnica")</f>
        <v>0</v>
      </c>
      <c r="N81" s="104">
        <f>SUMIFS('2 stopień 20_21'!$I$9:$I$761,'2 stopień 20_21'!$G$9:$G$761,"MOD.07.",'2 stopień 20_21'!$K$9:$K$761,"CKZ Świdnica")</f>
        <v>0</v>
      </c>
      <c r="O81" s="104">
        <f>SUMIFS('2 stopień 20_21'!$I$9:$I$761,'2 stopień 20_21'!$G$9:$G$761,"MOD.07.",'2 stopień 20_21'!$K$9:$K$761,"CKZ Wołów")</f>
        <v>0</v>
      </c>
      <c r="P81" s="104">
        <f>SUMIFS('2 stopień 20_21'!$I$9:$I$761,'2 stopień 20_21'!$G$9:$G$761,"MOD.07.",'2 stopień 20_21'!$K$9:$K$761,"CKZ Ziębice")</f>
        <v>0</v>
      </c>
      <c r="Q81" s="104">
        <f>SUMIFS('2 stopień 20_21'!$I$9:$I$761,'2 stopień 20_21'!$G$9:$G$761,"MOD.07.",'2 stopień 20_21'!$K$9:$K$761,"CKZ Dobrodzień")</f>
        <v>0</v>
      </c>
      <c r="R81" s="104">
        <f>SUMIFS('2 stopień 20_21'!$I$9:$I$761,'2 stopień 20_21'!$G$9:$G$761,"MOD.07.",'2 stopień 20_21'!$K$9:$K$761,"CKZ Głubczyce")</f>
        <v>0</v>
      </c>
      <c r="S81" s="104">
        <f>SUMIFS('2 stopień 20_21'!$I$9:$I$761,'2 stopień 20_21'!$G$9:$G$761,"MOD.07.",'2 stopień 20_21'!$K$9:$K$761,"CKZ Kędzierzyn Koźle")</f>
        <v>0</v>
      </c>
      <c r="T81" s="104">
        <f>SUMIFS('2 stopień 20_21'!$I$9:$I$761,'2 stopień 20_21'!$G$9:$G$761,"MOD.07.",'2 stopień 20_21'!$K$9:$K$761,"CKZ Kluczbork")</f>
        <v>0</v>
      </c>
      <c r="U81" s="104">
        <f>SUMIFS('2 stopień 20_21'!$I$9:$I$761,'2 stopień 20_21'!$G$9:$G$761,"MOD.07.",'2 stopień 20_21'!$K$9:$K$761,"CKZ Krotoszyn")</f>
        <v>0</v>
      </c>
      <c r="V81" s="104">
        <f>SUMIFS('2 stopień 20_21'!$I$9:$I$761,'2 stopień 20_21'!$G$9:$G$761,"MOD.07.",'2 stopień 20_21'!$K$9:$K$761,"CKZ Olkusz")</f>
        <v>0</v>
      </c>
      <c r="W81" s="104">
        <f>SUMIFS('2 stopień 20_21'!$I$9:$I$761,'2 stopień 20_21'!$G$9:$G$761,"MOD.07.",'2 stopień 20_21'!$K$9:$K$761,"CKZ Wschowa")</f>
        <v>0</v>
      </c>
      <c r="X81" s="104">
        <f>SUMIFS('2 stopień 20_21'!$I$9:$I$761,'2 stopień 20_21'!$G$9:$G$761,"MOD.07.",'2 stopień 20_21'!$K$9:$K$761,"CKZ Zielona Góra")</f>
        <v>0</v>
      </c>
      <c r="Y81" s="104">
        <f>SUMIFS('2 stopień 20_21'!$I$9:$I$761,'2 stopień 20_21'!$G$9:$G$761,"MOD.07.",'2 stopień 20_21'!$K$9:$K$761,"Rzemieślnicza Wałbrzych")</f>
        <v>0</v>
      </c>
      <c r="Z81" s="104">
        <f>SUMIFS('2 stopień 20_21'!$I$9:$I$761,'2 stopień 20_21'!$G$9:$G$761,"MOD.07.",'2 stopień 20_21'!$K$9:$K$761,"CKZ Mosina")</f>
        <v>0</v>
      </c>
      <c r="AA81" s="104">
        <f>SUMIFS('2 stopień 20_21'!$I$9:$I$761,'2 stopień 20_21'!$G$9:$G$761,"MOD.07.",'2 stopień 20_21'!$K$9:$K$761,"CKZ Słupsk")</f>
        <v>0</v>
      </c>
      <c r="AB81" s="104">
        <f>SUMIFS('2 stopień 20_21'!$I$9:$I$761,'2 stopień 20_21'!$G$9:$G$761,"MOD.07.",'2 stopień 20_21'!$K$9:$K$761,"CKZ Opole")</f>
        <v>0</v>
      </c>
      <c r="AC81" s="104">
        <f>SUMIFS('2 stopień 20_21'!$I$9:$I$761,'2 stopień 20_21'!$G$9:$G$761,"MOD.07.",'2 stopień 20_21'!$K$9:$K$761,"CKZ Wrocław")</f>
        <v>0</v>
      </c>
      <c r="AD81" s="104">
        <f>SUMIFS('2 stopień 20_21'!$I$9:$I$761,'2 stopień 20_21'!$G$9:$G$761,"MOD.07.",'2 stopień 20_21'!$K$9:$K$761,"Brzeg Dolny")</f>
        <v>0</v>
      </c>
      <c r="AE81" s="104">
        <f>SUMIFS('2 stopień 20_21'!$I$9:$I$761,'2 stopień 20_21'!$G$9:$G$761,"MOD.07.",'2 stopień 20_21'!$K$9:$K$761,"")</f>
        <v>0</v>
      </c>
      <c r="AF81" s="105">
        <f t="shared" si="1"/>
        <v>0</v>
      </c>
    </row>
    <row r="82" spans="2:32">
      <c r="B82" s="106" t="s">
        <v>646</v>
      </c>
      <c r="C82" s="107">
        <v>731808</v>
      </c>
      <c r="D82" s="107" t="s">
        <v>799</v>
      </c>
      <c r="E82" s="106" t="s">
        <v>798</v>
      </c>
      <c r="F82" s="103">
        <f>SUMIF('2 stopień 20_21'!G$9:G$761,"MOD.08.",'2 stopień 20_21'!I$9:I$761)</f>
        <v>0</v>
      </c>
      <c r="G82" s="104">
        <f>SUMIFS('2 stopień 20_21'!$I$9:$I$761,'2 stopień 20_21'!$G$9:$G$761,"MOD.08.",'2 stopień 20_21'!$K$9:$K$761,"CKZ Bielawa")</f>
        <v>0</v>
      </c>
      <c r="H82" s="104">
        <f>SUMIFS('2 stopień 20_21'!$I$9:$I$761,'2 stopień 20_21'!$G$9:$G$761,"MOD.08.",'2 stopień 20_21'!$K$9:$K$761,"GCKZ Głogów")</f>
        <v>0</v>
      </c>
      <c r="I82" s="104">
        <f>SUMIFS('2 stopień 20_21'!$I$9:$I$761,'2 stopień 20_21'!$G$9:$G$761,"MOD.08.",'2 stopień 20_21'!$K$9:$K$761,"CKZ Jawor")</f>
        <v>0</v>
      </c>
      <c r="J82" s="104">
        <f>SUMIFS('2 stopień 20_21'!$I$9:$I$761,'2 stopień 20_21'!$G$9:$G$761,"MOD.08.",'2 stopień 20_21'!$K$9:$K$761,"JCKZ Jelenia Góra")</f>
        <v>0</v>
      </c>
      <c r="K82" s="104">
        <f>SUMIFS('2 stopień 20_21'!$I$9:$I$761,'2 stopień 20_21'!$G$9:$G$761,"MOD.08.",'2 stopień 20_21'!$K$9:$K$761,"CKZ Kłodzko")</f>
        <v>0</v>
      </c>
      <c r="L82" s="104">
        <f>SUMIFS('2 stopień 20_21'!$I$9:$I$761,'2 stopień 20_21'!$G$9:$G$761,"MOD.08.",'2 stopień 20_21'!$K$9:$K$761,"CKZ Legnica")</f>
        <v>0</v>
      </c>
      <c r="M82" s="104">
        <f>SUMIFS('2 stopień 20_21'!$I$9:$I$761,'2 stopień 20_21'!$G$9:$G$761,"MOD.08.",'2 stopień 20_21'!$K$9:$K$761,"CKZ Oleśnica")</f>
        <v>0</v>
      </c>
      <c r="N82" s="104">
        <f>SUMIFS('2 stopień 20_21'!$I$9:$I$761,'2 stopień 20_21'!$G$9:$G$761,"MOD.08.",'2 stopień 20_21'!$K$9:$K$761,"CKZ Świdnica")</f>
        <v>0</v>
      </c>
      <c r="O82" s="104">
        <f>SUMIFS('2 stopień 20_21'!$I$9:$I$761,'2 stopień 20_21'!$G$9:$G$761,"MOD.08.",'2 stopień 20_21'!$K$9:$K$761,"CKZ Wołów")</f>
        <v>0</v>
      </c>
      <c r="P82" s="104">
        <f>SUMIFS('2 stopień 20_21'!$I$9:$I$761,'2 stopień 20_21'!$G$9:$G$761,"MOD.08.",'2 stopień 20_21'!$K$9:$K$761,"CKZ Ziębice")</f>
        <v>0</v>
      </c>
      <c r="Q82" s="104">
        <f>SUMIFS('2 stopień 20_21'!$I$9:$I$761,'2 stopień 20_21'!$G$9:$G$761,"MOD.08.",'2 stopień 20_21'!$K$9:$K$761,"CKZ Dobrodzień")</f>
        <v>0</v>
      </c>
      <c r="R82" s="104">
        <f>SUMIFS('2 stopień 20_21'!$I$9:$I$761,'2 stopień 20_21'!$G$9:$G$761,"MOD.08.",'2 stopień 20_21'!$K$9:$K$761,"CKZ Głubczyce")</f>
        <v>0</v>
      </c>
      <c r="S82" s="104">
        <f>SUMIFS('2 stopień 20_21'!$I$9:$I$761,'2 stopień 20_21'!$G$9:$G$761,"MOD.08.",'2 stopień 20_21'!$K$9:$K$761,"CKZ Kędzierzyn Koźle")</f>
        <v>0</v>
      </c>
      <c r="T82" s="104">
        <f>SUMIFS('2 stopień 20_21'!$I$9:$I$761,'2 stopień 20_21'!$G$9:$G$761,"MOD.08.",'2 stopień 20_21'!$K$9:$K$761,"CKZ Kluczbork")</f>
        <v>0</v>
      </c>
      <c r="U82" s="104">
        <f>SUMIFS('2 stopień 20_21'!$I$9:$I$761,'2 stopień 20_21'!$G$9:$G$761,"MOD.08.",'2 stopień 20_21'!$K$9:$K$761,"CKZ Krotoszyn")</f>
        <v>0</v>
      </c>
      <c r="V82" s="104">
        <f>SUMIFS('2 stopień 20_21'!$I$9:$I$761,'2 stopień 20_21'!$G$9:$G$761,"MOD.08.",'2 stopień 20_21'!$K$9:$K$761,"CKZ Olkusz")</f>
        <v>0</v>
      </c>
      <c r="W82" s="104">
        <f>SUMIFS('2 stopień 20_21'!$I$9:$I$761,'2 stopień 20_21'!$G$9:$G$761,"MOD.08.",'2 stopień 20_21'!$K$9:$K$761,"CKZ Wschowa")</f>
        <v>0</v>
      </c>
      <c r="X82" s="104">
        <f>SUMIFS('2 stopień 20_21'!$I$9:$I$761,'2 stopień 20_21'!$G$9:$G$761,"MOD.08.",'2 stopień 20_21'!$K$9:$K$761,"CKZ Zielona Góra")</f>
        <v>0</v>
      </c>
      <c r="Y82" s="104">
        <f>SUMIFS('2 stopień 20_21'!$I$9:$I$761,'2 stopień 20_21'!$G$9:$G$761,"MOD.08.",'2 stopień 20_21'!$K$9:$K$761,"Rzemieślnicza Wałbrzych")</f>
        <v>0</v>
      </c>
      <c r="Z82" s="104">
        <f>SUMIFS('2 stopień 20_21'!$I$9:$I$761,'2 stopień 20_21'!$G$9:$G$761,"MOD.08.",'2 stopień 20_21'!$K$9:$K$761,"CKZ Mosina")</f>
        <v>0</v>
      </c>
      <c r="AA82" s="104">
        <f>SUMIFS('2 stopień 20_21'!$I$9:$I$761,'2 stopień 20_21'!$G$9:$G$761,"MOD.08.",'2 stopień 20_21'!$K$9:$K$761,"CKZ Słupsk")</f>
        <v>0</v>
      </c>
      <c r="AB82" s="104">
        <f>SUMIFS('2 stopień 20_21'!$I$9:$I$761,'2 stopień 20_21'!$G$9:$G$761,"MOD.08.",'2 stopień 20_21'!$K$9:$K$761,"CKZ Opole")</f>
        <v>0</v>
      </c>
      <c r="AC82" s="104">
        <f>SUMIFS('2 stopień 20_21'!$I$9:$I$761,'2 stopień 20_21'!$G$9:$G$761,"MOD.08.",'2 stopień 20_21'!$K$9:$K$761,"CKZ Wrocław")</f>
        <v>0</v>
      </c>
      <c r="AD82" s="104">
        <f>SUMIFS('2 stopień 20_21'!$I$9:$I$761,'2 stopień 20_21'!$G$9:$G$761,"MOD.08.",'2 stopień 20_21'!$K$9:$K$761,"Brzeg Dolny")</f>
        <v>0</v>
      </c>
      <c r="AE82" s="104">
        <f>SUMIFS('2 stopień 20_21'!$I$9:$I$761,'2 stopień 20_21'!$G$9:$G$761,"MOD.08.",'2 stopień 20_21'!$K$9:$K$761,"")</f>
        <v>0</v>
      </c>
      <c r="AF82" s="105">
        <f t="shared" si="1"/>
        <v>0</v>
      </c>
    </row>
    <row r="83" spans="2:32">
      <c r="B83" s="106" t="s">
        <v>647</v>
      </c>
      <c r="C83" s="107">
        <v>516408</v>
      </c>
      <c r="D83" s="107" t="s">
        <v>797</v>
      </c>
      <c r="E83" s="106" t="s">
        <v>796</v>
      </c>
      <c r="F83" s="103">
        <f>SUMIF('2 stopień 20_21'!G$9:G$761,"ROL.01.",'2 stopień 20_21'!I$9:I$761)</f>
        <v>0</v>
      </c>
      <c r="G83" s="104">
        <f>SUMIFS('2 stopień 20_21'!$I$9:$I$761,'2 stopień 20_21'!$G$9:$G$761,"ROL.01.",'2 stopień 20_21'!$K$9:$K$761,"CKZ Bielawa")</f>
        <v>0</v>
      </c>
      <c r="H83" s="104">
        <f>SUMIFS('2 stopień 20_21'!$I$9:$I$761,'2 stopień 20_21'!$G$9:$G$761,"ROL.01.",'2 stopień 20_21'!$K$9:$K$761,"GCKZ Głogów")</f>
        <v>0</v>
      </c>
      <c r="I83" s="104">
        <f>SUMIFS('2 stopień 20_21'!$I$9:$I$761,'2 stopień 20_21'!$G$9:$G$761,"ROL.01.",'2 stopień 20_21'!$K$9:$K$761,"CKZ Jawor")</f>
        <v>0</v>
      </c>
      <c r="J83" s="104">
        <f>SUMIFS('2 stopień 20_21'!$I$9:$I$761,'2 stopień 20_21'!$G$9:$G$761,"ROL.01.",'2 stopień 20_21'!$K$9:$K$761,"JCKZ Jelenia Góra")</f>
        <v>0</v>
      </c>
      <c r="K83" s="104">
        <f>SUMIFS('2 stopień 20_21'!$I$9:$I$761,'2 stopień 20_21'!$G$9:$G$761,"ROL.01.",'2 stopień 20_21'!$K$9:$K$761,"CKZ Kłodzko")</f>
        <v>0</v>
      </c>
      <c r="L83" s="104">
        <f>SUMIFS('2 stopień 20_21'!$I$9:$I$761,'2 stopień 20_21'!$G$9:$G$761,"ROL.01.",'2 stopień 20_21'!$K$9:$K$761,"CKZ Legnica")</f>
        <v>0</v>
      </c>
      <c r="M83" s="104">
        <f>SUMIFS('2 stopień 20_21'!$I$9:$I$761,'2 stopień 20_21'!$G$9:$G$761,"ROL.01.",'2 stopień 20_21'!$K$9:$K$761,"CKZ Oleśnica")</f>
        <v>0</v>
      </c>
      <c r="N83" s="104">
        <f>SUMIFS('2 stopień 20_21'!$I$9:$I$761,'2 stopień 20_21'!$G$9:$G$761,"ROL.01.",'2 stopień 20_21'!$K$9:$K$761,"CKZ Świdnica")</f>
        <v>0</v>
      </c>
      <c r="O83" s="104">
        <f>SUMIFS('2 stopień 20_21'!$I$9:$I$761,'2 stopień 20_21'!$G$9:$G$761,"ROL.01.",'2 stopień 20_21'!$K$9:$K$761,"CKZ Wołów")</f>
        <v>0</v>
      </c>
      <c r="P83" s="104">
        <f>SUMIFS('2 stopień 20_21'!$I$9:$I$761,'2 stopień 20_21'!$G$9:$G$761,"ROL.01.",'2 stopień 20_21'!$K$9:$K$761,"CKZ Ziębice")</f>
        <v>0</v>
      </c>
      <c r="Q83" s="104">
        <f>SUMIFS('2 stopień 20_21'!$I$9:$I$761,'2 stopień 20_21'!$G$9:$G$761,"ROL.01.",'2 stopień 20_21'!$K$9:$K$761,"CKZ Dobrodzień")</f>
        <v>0</v>
      </c>
      <c r="R83" s="104">
        <f>SUMIFS('2 stopień 20_21'!$I$9:$I$761,'2 stopień 20_21'!$G$9:$G$761,"ROL.01.",'2 stopień 20_21'!$K$9:$K$761,"CKZ Głubczyce")</f>
        <v>0</v>
      </c>
      <c r="S83" s="104">
        <f>SUMIFS('2 stopień 20_21'!$I$9:$I$761,'2 stopień 20_21'!$G$9:$G$761,"ROL.01.",'2 stopień 20_21'!$K$9:$K$761,"CKZ Kędzierzyn Koźle")</f>
        <v>0</v>
      </c>
      <c r="T83" s="104">
        <f>SUMIFS('2 stopień 20_21'!$I$9:$I$761,'2 stopień 20_21'!$G$9:$G$761,"ROL.01.",'2 stopień 20_21'!$K$9:$K$761,"CKZ Kluczbork")</f>
        <v>0</v>
      </c>
      <c r="U83" s="104">
        <f>SUMIFS('2 stopień 20_21'!$I$9:$I$761,'2 stopień 20_21'!$G$9:$G$761,"ROL.01.",'2 stopień 20_21'!$K$9:$K$761,"CKZ Krotoszyn")</f>
        <v>0</v>
      </c>
      <c r="V83" s="104">
        <f>SUMIFS('2 stopień 20_21'!$I$9:$I$761,'2 stopień 20_21'!$G$9:$G$761,"ROL.01.",'2 stopień 20_21'!$K$9:$K$761,"CKZ Olkusz")</f>
        <v>0</v>
      </c>
      <c r="W83" s="104">
        <f>SUMIFS('2 stopień 20_21'!$I$9:$I$761,'2 stopień 20_21'!$G$9:$G$761,"ROL.01.",'2 stopień 20_21'!$K$9:$K$761,"CKZ Wschowa")</f>
        <v>0</v>
      </c>
      <c r="X83" s="104">
        <f>SUMIFS('2 stopień 20_21'!$I$9:$I$761,'2 stopień 20_21'!$G$9:$G$761,"ROL.01.",'2 stopień 20_21'!$K$9:$K$761,"CKZ Zielona Góra")</f>
        <v>0</v>
      </c>
      <c r="Y83" s="104">
        <f>SUMIFS('2 stopień 20_21'!$I$9:$I$761,'2 stopień 20_21'!$G$9:$G$761,"ROL.01.",'2 stopień 20_21'!$K$9:$K$761,"Rzemieślnicza Wałbrzych")</f>
        <v>0</v>
      </c>
      <c r="Z83" s="104">
        <f>SUMIFS('2 stopień 20_21'!$I$9:$I$761,'2 stopień 20_21'!$G$9:$G$761,"ROL.01.",'2 stopień 20_21'!$K$9:$K$761,"CKZ Mosina")</f>
        <v>0</v>
      </c>
      <c r="AA83" s="104">
        <f>SUMIFS('2 stopień 20_21'!$I$9:$I$761,'2 stopień 20_21'!$G$9:$G$761,"ROL.01.",'2 stopień 20_21'!$K$9:$K$761,"CKZ Słupsk")</f>
        <v>0</v>
      </c>
      <c r="AB83" s="104">
        <f>SUMIFS('2 stopień 20_21'!$I$9:$I$761,'2 stopień 20_21'!$G$9:$G$761,"ROL.01.",'2 stopień 20_21'!$K$9:$K$761,"CKZ Opole")</f>
        <v>0</v>
      </c>
      <c r="AC83" s="104">
        <f>SUMIFS('2 stopień 20_21'!$I$9:$I$761,'2 stopień 20_21'!$G$9:$G$761,"ROL.01.",'2 stopień 20_21'!$K$9:$K$761,"CKZ Wrocław")</f>
        <v>0</v>
      </c>
      <c r="AD83" s="104">
        <f>SUMIFS('2 stopień 20_21'!$I$9:$I$761,'2 stopień 20_21'!$G$9:$G$761,"ROL.01.",'2 stopień 20_21'!$K$9:$K$761,"Brzeg Dolny")</f>
        <v>0</v>
      </c>
      <c r="AE83" s="104">
        <f>SUMIFS('2 stopień 20_21'!$I$9:$I$761,'2 stopień 20_21'!$G$9:$G$761,"ROL.01.",'2 stopień 20_21'!$K$9:$K$761,"")</f>
        <v>0</v>
      </c>
      <c r="AF83" s="105">
        <f t="shared" si="1"/>
        <v>0</v>
      </c>
    </row>
    <row r="84" spans="2:32">
      <c r="B84" s="106" t="s">
        <v>241</v>
      </c>
      <c r="C84" s="107">
        <v>834103</v>
      </c>
      <c r="D84" s="107" t="s">
        <v>186</v>
      </c>
      <c r="E84" s="106" t="s">
        <v>795</v>
      </c>
      <c r="F84" s="103">
        <f>SUMIF('2 stopień 20_21'!G$9:G$761,"ROL.02.",'2 stopień 20_21'!I$9:I$761)</f>
        <v>11</v>
      </c>
      <c r="G84" s="104">
        <f>SUMIFS('2 stopień 20_21'!$I$9:$I$761,'2 stopień 20_21'!$G$9:$G$761,"ROL.02.",'2 stopień 20_21'!$K$9:$K$761,"CKZ Bielawa")</f>
        <v>0</v>
      </c>
      <c r="H84" s="104">
        <f>SUMIFS('2 stopień 20_21'!$I$9:$I$761,'2 stopień 20_21'!$G$9:$G$761,"ROL.02.",'2 stopień 20_21'!$K$9:$K$761,"GCKZ Głogów")</f>
        <v>0</v>
      </c>
      <c r="I84" s="104">
        <f>SUMIFS('2 stopień 20_21'!$I$9:$I$761,'2 stopień 20_21'!$G$9:$G$761,"ROL.02.",'2 stopień 20_21'!$K$9:$K$761,"CKZ Jawor")</f>
        <v>0</v>
      </c>
      <c r="J84" s="104">
        <f>SUMIFS('2 stopień 20_21'!$I$9:$I$761,'2 stopień 20_21'!$G$9:$G$761,"ROL.02.",'2 stopień 20_21'!$K$9:$K$761,"JCKZ Jelenia Góra")</f>
        <v>0</v>
      </c>
      <c r="K84" s="104">
        <f>SUMIFS('2 stopień 20_21'!$I$9:$I$761,'2 stopień 20_21'!$G$9:$G$761,"ROL.02.",'2 stopień 20_21'!$K$9:$K$761,"CKZ Kłodzko")</f>
        <v>0</v>
      </c>
      <c r="L84" s="104">
        <f>SUMIFS('2 stopień 20_21'!$I$9:$I$761,'2 stopień 20_21'!$G$9:$G$761,"ROL.02.",'2 stopień 20_21'!$K$9:$K$761,"CKZ Legnica")</f>
        <v>0</v>
      </c>
      <c r="M84" s="104">
        <f>SUMIFS('2 stopień 20_21'!$I$9:$I$761,'2 stopień 20_21'!$G$9:$G$761,"ROL.02.",'2 stopień 20_21'!$K$9:$K$761,"CKZ Oleśnica")</f>
        <v>0</v>
      </c>
      <c r="N84" s="104">
        <f>SUMIFS('2 stopień 20_21'!$I$9:$I$761,'2 stopień 20_21'!$G$9:$G$761,"ROL.02.",'2 stopień 20_21'!$K$9:$K$761,"CKZ Świdnica")</f>
        <v>0</v>
      </c>
      <c r="O84" s="104">
        <f>SUMIFS('2 stopień 20_21'!$I$9:$I$761,'2 stopień 20_21'!$G$9:$G$761,"ROL.02.",'2 stopień 20_21'!$K$9:$K$761,"CKZ Wołów")</f>
        <v>0</v>
      </c>
      <c r="P84" s="104">
        <f>SUMIFS('2 stopień 20_21'!$I$9:$I$761,'2 stopień 20_21'!$G$9:$G$761,"ROL.02.",'2 stopień 20_21'!$K$9:$K$761,"CKZ Ziębice")</f>
        <v>0</v>
      </c>
      <c r="Q84" s="104">
        <f>SUMIFS('2 stopień 20_21'!$I$9:$I$761,'2 stopień 20_21'!$G$9:$G$761,"ROL.02.",'2 stopień 20_21'!$K$9:$K$761,"CKZ Dobrodzień")</f>
        <v>0</v>
      </c>
      <c r="R84" s="104">
        <f>SUMIFS('2 stopień 20_21'!$I$9:$I$761,'2 stopień 20_21'!$G$9:$G$761,"ROL.02.",'2 stopień 20_21'!$K$9:$K$761,"CKZ Głubczyce")</f>
        <v>0</v>
      </c>
      <c r="S84" s="104">
        <f>SUMIFS('2 stopień 20_21'!$I$9:$I$761,'2 stopień 20_21'!$G$9:$G$761,"ROL.02.",'2 stopień 20_21'!$K$9:$K$761,"CKZ Kędzierzyn Koźle")</f>
        <v>0</v>
      </c>
      <c r="T84" s="104">
        <f>SUMIFS('2 stopień 20_21'!$I$9:$I$761,'2 stopień 20_21'!$G$9:$G$761,"ROL.02.",'2 stopień 20_21'!$K$9:$K$761,"CKZ Kluczbork")</f>
        <v>0</v>
      </c>
      <c r="U84" s="104">
        <f>SUMIFS('2 stopień 20_21'!$I$9:$I$761,'2 stopień 20_21'!$G$9:$G$761,"ROL.02.",'2 stopień 20_21'!$K$9:$K$761,"CKZ Krotoszyn")</f>
        <v>0</v>
      </c>
      <c r="V84" s="104">
        <f>SUMIFS('2 stopień 20_21'!$I$9:$I$761,'2 stopień 20_21'!$G$9:$G$761,"ROL.02.",'2 stopień 20_21'!$K$9:$K$761,"CKZ Olkusz")</f>
        <v>0</v>
      </c>
      <c r="W84" s="104">
        <f>SUMIFS('2 stopień 20_21'!$I$9:$I$761,'2 stopień 20_21'!$G$9:$G$761,"ROL.02.",'2 stopień 20_21'!$K$9:$K$761,"CKZ Wschowa")</f>
        <v>11</v>
      </c>
      <c r="X84" s="104">
        <f>SUMIFS('2 stopień 20_21'!$I$9:$I$761,'2 stopień 20_21'!$G$9:$G$761,"ROL.02.",'2 stopień 20_21'!$K$9:$K$761,"CKZ Zielona Góra")</f>
        <v>0</v>
      </c>
      <c r="Y84" s="104">
        <f>SUMIFS('2 stopień 20_21'!$I$9:$I$761,'2 stopień 20_21'!$G$9:$G$761,"ROL.02.",'2 stopień 20_21'!$K$9:$K$761,"Rzemieślnicza Wałbrzych")</f>
        <v>0</v>
      </c>
      <c r="Z84" s="104">
        <f>SUMIFS('2 stopień 20_21'!$I$9:$I$761,'2 stopień 20_21'!$G$9:$G$761,"ROL.02.",'2 stopień 20_21'!$K$9:$K$761,"CKZ Mosina")</f>
        <v>0</v>
      </c>
      <c r="AA84" s="104">
        <f>SUMIFS('2 stopień 20_21'!$I$9:$I$761,'2 stopień 20_21'!$G$9:$G$761,"ROL.02.",'2 stopień 20_21'!$K$9:$K$761,"CKZ Słupsk")</f>
        <v>0</v>
      </c>
      <c r="AB84" s="104">
        <f>SUMIFS('2 stopień 20_21'!$I$9:$I$761,'2 stopień 20_21'!$G$9:$G$761,"ROL.02.",'2 stopień 20_21'!$K$9:$K$761,"CKZ Opole")</f>
        <v>0</v>
      </c>
      <c r="AC84" s="104">
        <f>SUMIFS('2 stopień 20_21'!$I$9:$I$761,'2 stopień 20_21'!$G$9:$G$761,"ROL.02.",'2 stopień 20_21'!$K$9:$K$761,"CKZ Wrocław")</f>
        <v>0</v>
      </c>
      <c r="AD84" s="104">
        <f>SUMIFS('2 stopień 20_21'!$I$9:$I$761,'2 stopień 20_21'!$G$9:$G$761,"ROL.02.",'2 stopień 20_21'!$K$9:$K$761,"Brzeg Dolny")</f>
        <v>0</v>
      </c>
      <c r="AE84" s="104">
        <f>SUMIFS('2 stopień 20_21'!$I$9:$I$761,'2 stopień 20_21'!$G$9:$G$761,"ROL.02.",'2 stopień 20_21'!$K$9:$K$761,"")</f>
        <v>0</v>
      </c>
      <c r="AF84" s="105">
        <f t="shared" si="1"/>
        <v>11</v>
      </c>
    </row>
    <row r="85" spans="2:32">
      <c r="B85" s="106" t="s">
        <v>648</v>
      </c>
      <c r="C85" s="107">
        <v>612302</v>
      </c>
      <c r="D85" s="107" t="s">
        <v>794</v>
      </c>
      <c r="E85" s="106" t="s">
        <v>793</v>
      </c>
      <c r="F85" s="103">
        <f>SUMIF('2 stopień 20_21'!G$9:G$761,"ROL.03.",'2 stopień 20_21'!I$9:I$761)</f>
        <v>0</v>
      </c>
      <c r="G85" s="104">
        <f>SUMIFS('2 stopień 20_21'!$I$9:$I$761,'2 stopień 20_21'!$G$9:$G$761,"ROL.03.",'2 stopień 20_21'!$K$9:$K$761,"CKZ Bielawa")</f>
        <v>0</v>
      </c>
      <c r="H85" s="104">
        <f>SUMIFS('2 stopień 20_21'!$I$9:$I$761,'2 stopień 20_21'!$G$9:$G$761,"ROL.03.",'2 stopień 20_21'!$K$9:$K$761,"GCKZ Głogów")</f>
        <v>0</v>
      </c>
      <c r="I85" s="104">
        <f>SUMIFS('2 stopień 20_21'!$I$9:$I$761,'2 stopień 20_21'!$G$9:$G$761,"ROL.03.",'2 stopień 20_21'!$K$9:$K$761,"CKZ Jawor")</f>
        <v>0</v>
      </c>
      <c r="J85" s="104">
        <f>SUMIFS('2 stopień 20_21'!$I$9:$I$761,'2 stopień 20_21'!$G$9:$G$761,"ROL.03.",'2 stopień 20_21'!$K$9:$K$761,"JCKZ Jelenia Góra")</f>
        <v>0</v>
      </c>
      <c r="K85" s="104">
        <f>SUMIFS('2 stopień 20_21'!$I$9:$I$761,'2 stopień 20_21'!$G$9:$G$761,"ROL.03.",'2 stopień 20_21'!$K$9:$K$761,"CKZ Kłodzko")</f>
        <v>0</v>
      </c>
      <c r="L85" s="104">
        <f>SUMIFS('2 stopień 20_21'!$I$9:$I$761,'2 stopień 20_21'!$G$9:$G$761,"ROL.03.",'2 stopień 20_21'!$K$9:$K$761,"CKZ Legnica")</f>
        <v>0</v>
      </c>
      <c r="M85" s="104">
        <f>SUMIFS('2 stopień 20_21'!$I$9:$I$761,'2 stopień 20_21'!$G$9:$G$761,"ROL.03.",'2 stopień 20_21'!$K$9:$K$761,"CKZ Oleśnica")</f>
        <v>0</v>
      </c>
      <c r="N85" s="104">
        <f>SUMIFS('2 stopień 20_21'!$I$9:$I$761,'2 stopień 20_21'!$G$9:$G$761,"ROL.03.",'2 stopień 20_21'!$K$9:$K$761,"CKZ Świdnica")</f>
        <v>0</v>
      </c>
      <c r="O85" s="104">
        <f>SUMIFS('2 stopień 20_21'!$I$9:$I$761,'2 stopień 20_21'!$G$9:$G$761,"ROL.03.",'2 stopień 20_21'!$K$9:$K$761,"CKZ Wołów")</f>
        <v>0</v>
      </c>
      <c r="P85" s="104">
        <f>SUMIFS('2 stopień 20_21'!$I$9:$I$761,'2 stopień 20_21'!$G$9:$G$761,"ROL.03.",'2 stopień 20_21'!$K$9:$K$761,"CKZ Ziębice")</f>
        <v>0</v>
      </c>
      <c r="Q85" s="104">
        <f>SUMIFS('2 stopień 20_21'!$I$9:$I$761,'2 stopień 20_21'!$G$9:$G$761,"ROL.03.",'2 stopień 20_21'!$K$9:$K$761,"CKZ Dobrodzień")</f>
        <v>0</v>
      </c>
      <c r="R85" s="104">
        <f>SUMIFS('2 stopień 20_21'!$I$9:$I$761,'2 stopień 20_21'!$G$9:$G$761,"ROL.03.",'2 stopień 20_21'!$K$9:$K$761,"CKZ Głubczyce")</f>
        <v>0</v>
      </c>
      <c r="S85" s="104">
        <f>SUMIFS('2 stopień 20_21'!$I$9:$I$761,'2 stopień 20_21'!$G$9:$G$761,"ROL.03.",'2 stopień 20_21'!$K$9:$K$761,"CKZ Kędzierzyn Koźle")</f>
        <v>0</v>
      </c>
      <c r="T85" s="104">
        <f>SUMIFS('2 stopień 20_21'!$I$9:$I$761,'2 stopień 20_21'!$G$9:$G$761,"ROL.03.",'2 stopień 20_21'!$K$9:$K$761,"CKZ Kluczbork")</f>
        <v>0</v>
      </c>
      <c r="U85" s="104">
        <f>SUMIFS('2 stopień 20_21'!$I$9:$I$761,'2 stopień 20_21'!$G$9:$G$761,"ROL.03.",'2 stopień 20_21'!$K$9:$K$761,"CKZ Krotoszyn")</f>
        <v>0</v>
      </c>
      <c r="V85" s="104">
        <f>SUMIFS('2 stopień 20_21'!$I$9:$I$761,'2 stopień 20_21'!$G$9:$G$761,"ROL.03.",'2 stopień 20_21'!$K$9:$K$761,"CKZ Olkusz")</f>
        <v>0</v>
      </c>
      <c r="W85" s="104">
        <f>SUMIFS('2 stopień 20_21'!$I$9:$I$761,'2 stopień 20_21'!$G$9:$G$761,"ROL.03.",'2 stopień 20_21'!$K$9:$K$761,"CKZ Wschowa")</f>
        <v>0</v>
      </c>
      <c r="X85" s="104">
        <f>SUMIFS('2 stopień 20_21'!$I$9:$I$761,'2 stopień 20_21'!$G$9:$G$761,"ROL.03.",'2 stopień 20_21'!$K$9:$K$761,"CKZ Zielona Góra")</f>
        <v>0</v>
      </c>
      <c r="Y85" s="104">
        <f>SUMIFS('2 stopień 20_21'!$I$9:$I$761,'2 stopień 20_21'!$G$9:$G$761,"ROL.03.",'2 stopień 20_21'!$K$9:$K$761,"Rzemieślnicza Wałbrzych")</f>
        <v>0</v>
      </c>
      <c r="Z85" s="104">
        <f>SUMIFS('2 stopień 20_21'!$I$9:$I$761,'2 stopień 20_21'!$G$9:$G$761,"ROL.03.",'2 stopień 20_21'!$K$9:$K$761,"CKZ Mosina")</f>
        <v>0</v>
      </c>
      <c r="AA85" s="104">
        <f>SUMIFS('2 stopień 20_21'!$I$9:$I$761,'2 stopień 20_21'!$G$9:$G$761,"ROL.03.",'2 stopień 20_21'!$K$9:$K$761,"CKZ Słupsk")</f>
        <v>0</v>
      </c>
      <c r="AB85" s="104">
        <f>SUMIFS('2 stopień 20_21'!$I$9:$I$761,'2 stopień 20_21'!$G$9:$G$761,"ROL.03.",'2 stopień 20_21'!$K$9:$K$761,"CKZ Opole")</f>
        <v>0</v>
      </c>
      <c r="AC85" s="104">
        <f>SUMIFS('2 stopień 20_21'!$I$9:$I$761,'2 stopień 20_21'!$G$9:$G$761,"ROL.03.",'2 stopień 20_21'!$K$9:$K$761,"CKZ Wrocław")</f>
        <v>0</v>
      </c>
      <c r="AD85" s="104">
        <f>SUMIFS('2 stopień 20_21'!$I$9:$I$761,'2 stopień 20_21'!$G$9:$G$761,"ROL.03.",'2 stopień 20_21'!$K$9:$K$761,"Brzeg Dolny")</f>
        <v>0</v>
      </c>
      <c r="AE85" s="104">
        <f>SUMIFS('2 stopień 20_21'!$I$9:$I$761,'2 stopień 20_21'!$G$9:$G$761,"ROL.03.",'2 stopień 20_21'!$K$9:$K$761,"")</f>
        <v>0</v>
      </c>
      <c r="AF85" s="105">
        <f t="shared" si="1"/>
        <v>0</v>
      </c>
    </row>
    <row r="86" spans="2:32">
      <c r="B86" s="106" t="s">
        <v>247</v>
      </c>
      <c r="C86" s="107">
        <v>613003</v>
      </c>
      <c r="D86" s="107" t="s">
        <v>542</v>
      </c>
      <c r="E86" s="106" t="s">
        <v>792</v>
      </c>
      <c r="F86" s="103">
        <f>SUMIF('2 stopień 20_21'!G$9:G$761,"ROL.04.",'2 stopień 20_21'!I$9:I$761)</f>
        <v>4</v>
      </c>
      <c r="G86" s="104">
        <f>SUMIFS('2 stopień 20_21'!$I$9:$I$761,'2 stopień 20_21'!$G$9:$G$761,"ROL.04.",'2 stopień 20_21'!$K$9:$K$761,"CKZ Bielawa")</f>
        <v>0</v>
      </c>
      <c r="H86" s="104">
        <f>SUMIFS('2 stopień 20_21'!$I$9:$I$761,'2 stopień 20_21'!$G$9:$G$761,"ROL.04.",'2 stopień 20_21'!$K$9:$K$761,"GCKZ Głogów")</f>
        <v>0</v>
      </c>
      <c r="I86" s="104">
        <f>SUMIFS('2 stopień 20_21'!$I$9:$I$761,'2 stopień 20_21'!$G$9:$G$761,"ROL.04.",'2 stopień 20_21'!$K$9:$K$761,"CKZ Jawor")</f>
        <v>0</v>
      </c>
      <c r="J86" s="104">
        <f>SUMIFS('2 stopień 20_21'!$I$9:$I$761,'2 stopień 20_21'!$G$9:$G$761,"ROL.04.",'2 stopień 20_21'!$K$9:$K$761,"JCKZ Jelenia Góra")</f>
        <v>0</v>
      </c>
      <c r="K86" s="104">
        <f>SUMIFS('2 stopień 20_21'!$I$9:$I$761,'2 stopień 20_21'!$G$9:$G$761,"ROL.04.",'2 stopień 20_21'!$K$9:$K$761,"CKZ Kłodzko")</f>
        <v>0</v>
      </c>
      <c r="L86" s="104">
        <f>SUMIFS('2 stopień 20_21'!$I$9:$I$761,'2 stopień 20_21'!$G$9:$G$761,"ROL.04.",'2 stopień 20_21'!$K$9:$K$761,"CKZ Legnica")</f>
        <v>0</v>
      </c>
      <c r="M86" s="104">
        <f>SUMIFS('2 stopień 20_21'!$I$9:$I$761,'2 stopień 20_21'!$G$9:$G$761,"ROL.04.",'2 stopień 20_21'!$K$9:$K$761,"CKZ Oleśnica")</f>
        <v>0</v>
      </c>
      <c r="N86" s="104">
        <f>SUMIFS('2 stopień 20_21'!$I$9:$I$761,'2 stopień 20_21'!$G$9:$G$761,"ROL.04.",'2 stopień 20_21'!$K$9:$K$761,"CKZ Świdnica")</f>
        <v>0</v>
      </c>
      <c r="O86" s="104">
        <f>SUMIFS('2 stopień 20_21'!$I$9:$I$761,'2 stopień 20_21'!$G$9:$G$761,"ROL.04.",'2 stopień 20_21'!$K$9:$K$761,"CKZ Wołów")</f>
        <v>0</v>
      </c>
      <c r="P86" s="104">
        <f>SUMIFS('2 stopień 20_21'!$I$9:$I$761,'2 stopień 20_21'!$G$9:$G$761,"ROL.04.",'2 stopień 20_21'!$K$9:$K$761,"CKZ Ziębice")</f>
        <v>0</v>
      </c>
      <c r="Q86" s="104">
        <f>SUMIFS('2 stopień 20_21'!$I$9:$I$761,'2 stopień 20_21'!$G$9:$G$761,"ROL.04.",'2 stopień 20_21'!$K$9:$K$761,"CKZ Dobrodzień")</f>
        <v>0</v>
      </c>
      <c r="R86" s="104">
        <f>SUMIFS('2 stopień 20_21'!$I$9:$I$761,'2 stopień 20_21'!$G$9:$G$761,"ROL.04.",'2 stopień 20_21'!$K$9:$K$761,"CKZ Głubczyce")</f>
        <v>0</v>
      </c>
      <c r="S86" s="104">
        <f>SUMIFS('2 stopień 20_21'!$I$9:$I$761,'2 stopień 20_21'!$G$9:$G$761,"ROL.04.",'2 stopień 20_21'!$K$9:$K$761,"CKZ Kędzierzyn Koźle")</f>
        <v>0</v>
      </c>
      <c r="T86" s="104">
        <f>SUMIFS('2 stopień 20_21'!$I$9:$I$761,'2 stopień 20_21'!$G$9:$G$761,"ROL.04.",'2 stopień 20_21'!$K$9:$K$761,"CKZ Kluczbork")</f>
        <v>0</v>
      </c>
      <c r="U86" s="104">
        <f>SUMIFS('2 stopień 20_21'!$I$9:$I$761,'2 stopień 20_21'!$G$9:$G$761,"ROL.04.",'2 stopień 20_21'!$K$9:$K$761,"CKZ Krotoszyn")</f>
        <v>0</v>
      </c>
      <c r="V86" s="104">
        <f>SUMIFS('2 stopień 20_21'!$I$9:$I$761,'2 stopień 20_21'!$G$9:$G$761,"ROL.04.",'2 stopień 20_21'!$K$9:$K$761,"CKZ Olkusz")</f>
        <v>0</v>
      </c>
      <c r="W86" s="104">
        <f>SUMIFS('2 stopień 20_21'!$I$9:$I$761,'2 stopień 20_21'!$G$9:$G$761,"ROL.04.",'2 stopień 20_21'!$K$9:$K$761,"CKZ Wschowa")</f>
        <v>4</v>
      </c>
      <c r="X86" s="104">
        <f>SUMIFS('2 stopień 20_21'!$I$9:$I$761,'2 stopień 20_21'!$G$9:$G$761,"ROL.04.",'2 stopień 20_21'!$K$9:$K$761,"CKZ Zielona Góra")</f>
        <v>0</v>
      </c>
      <c r="Y86" s="104">
        <f>SUMIFS('2 stopień 20_21'!$I$9:$I$761,'2 stopień 20_21'!$G$9:$G$761,"ROL.04.",'2 stopień 20_21'!$K$9:$K$761,"Rzemieślnicza Wałbrzych")</f>
        <v>0</v>
      </c>
      <c r="Z86" s="104">
        <f>SUMIFS('2 stopień 20_21'!$I$9:$I$761,'2 stopień 20_21'!$G$9:$G$761,"ROL.04.",'2 stopień 20_21'!$K$9:$K$761,"CKZ Mosina")</f>
        <v>0</v>
      </c>
      <c r="AA86" s="104">
        <f>SUMIFS('2 stopień 20_21'!$I$9:$I$761,'2 stopień 20_21'!$G$9:$G$761,"ROL.04.",'2 stopień 20_21'!$K$9:$K$761,"CKZ Słupsk")</f>
        <v>0</v>
      </c>
      <c r="AB86" s="104">
        <f>SUMIFS('2 stopień 20_21'!$I$9:$I$761,'2 stopień 20_21'!$G$9:$G$761,"ROL.04.",'2 stopień 20_21'!$K$9:$K$761,"CKZ Opole")</f>
        <v>0</v>
      </c>
      <c r="AC86" s="104">
        <f>SUMIFS('2 stopień 20_21'!$I$9:$I$761,'2 stopień 20_21'!$G$9:$G$761,"ROL.04.",'2 stopień 20_21'!$K$9:$K$761,"CKZ Wrocław")</f>
        <v>0</v>
      </c>
      <c r="AD86" s="104">
        <f>SUMIFS('2 stopień 20_21'!$I$9:$I$761,'2 stopień 20_21'!$G$9:$G$761,"ROL.04.",'2 stopień 20_21'!$K$9:$K$761,"Brzeg Dolny")</f>
        <v>0</v>
      </c>
      <c r="AE86" s="104">
        <f>SUMIFS('2 stopień 20_21'!$I$9:$I$761,'2 stopień 20_21'!$G$9:$G$761,"ROL.04.",'2 stopień 20_21'!$K$9:$K$761,"")</f>
        <v>0</v>
      </c>
      <c r="AF86" s="105">
        <f t="shared" si="1"/>
        <v>4</v>
      </c>
    </row>
    <row r="87" spans="2:32">
      <c r="B87" s="106" t="s">
        <v>649</v>
      </c>
      <c r="C87" s="107">
        <v>622201</v>
      </c>
      <c r="D87" s="107" t="s">
        <v>791</v>
      </c>
      <c r="E87" s="106" t="s">
        <v>790</v>
      </c>
      <c r="F87" s="103">
        <f>SUMIF('2 stopień 20_21'!G$9:G$761,"RYB.01.",'2 stopień 20_21'!I$9:I$761)</f>
        <v>1</v>
      </c>
      <c r="G87" s="104">
        <f>SUMIFS('2 stopień 20_21'!$I$9:$I$761,'2 stopień 20_21'!$G$9:$G$761,"RYB.01.",'2 stopień 20_21'!$K$9:$K$761,"CKZ Bielawa")</f>
        <v>0</v>
      </c>
      <c r="H87" s="104">
        <f>SUMIFS('2 stopień 20_21'!$I$9:$I$761,'2 stopień 20_21'!$G$9:$G$761,"RYB.01.",'2 stopień 20_21'!$K$9:$K$761,"GCKZ Głogów")</f>
        <v>0</v>
      </c>
      <c r="I87" s="104">
        <f>SUMIFS('2 stopień 20_21'!$I$9:$I$761,'2 stopień 20_21'!$G$9:$G$761,"RYB.01.",'2 stopień 20_21'!$K$9:$K$761,"CKZ Jawor")</f>
        <v>0</v>
      </c>
      <c r="J87" s="104">
        <f>SUMIFS('2 stopień 20_21'!$I$9:$I$761,'2 stopień 20_21'!$G$9:$G$761,"RYB.01.",'2 stopień 20_21'!$K$9:$K$761,"JCKZ Jelenia Góra")</f>
        <v>0</v>
      </c>
      <c r="K87" s="104">
        <f>SUMIFS('2 stopień 20_21'!$I$9:$I$761,'2 stopień 20_21'!$G$9:$G$761,"RYB.01.",'2 stopień 20_21'!$K$9:$K$761,"CKZ Kłodzko")</f>
        <v>0</v>
      </c>
      <c r="L87" s="104">
        <f>SUMIFS('2 stopień 20_21'!$I$9:$I$761,'2 stopień 20_21'!$G$9:$G$761,"RYB.01.",'2 stopień 20_21'!$K$9:$K$761,"CKZ Legnica")</f>
        <v>0</v>
      </c>
      <c r="M87" s="104">
        <f>SUMIFS('2 stopień 20_21'!$I$9:$I$761,'2 stopień 20_21'!$G$9:$G$761,"RYB.01.",'2 stopień 20_21'!$K$9:$K$761,"CKZ Oleśnica")</f>
        <v>0</v>
      </c>
      <c r="N87" s="104">
        <f>SUMIFS('2 stopień 20_21'!$I$9:$I$761,'2 stopień 20_21'!$G$9:$G$761,"RYB.01.",'2 stopień 20_21'!$K$9:$K$761,"CKZ Świdnica")</f>
        <v>0</v>
      </c>
      <c r="O87" s="104">
        <f>SUMIFS('2 stopień 20_21'!$I$9:$I$761,'2 stopień 20_21'!$G$9:$G$761,"RYB.01.",'2 stopień 20_21'!$K$9:$K$761,"CKZ Wołów")</f>
        <v>0</v>
      </c>
      <c r="P87" s="104">
        <f>SUMIFS('2 stopień 20_21'!$I$9:$I$761,'2 stopień 20_21'!$G$9:$G$761,"RYB.01.",'2 stopień 20_21'!$K$9:$K$761,"CKZ Ziębice")</f>
        <v>0</v>
      </c>
      <c r="Q87" s="104">
        <f>SUMIFS('2 stopień 20_21'!$I$9:$I$761,'2 stopień 20_21'!$G$9:$G$761,"RYB.01.",'2 stopień 20_21'!$K$9:$K$761,"CKZ Dobrodzień")</f>
        <v>0</v>
      </c>
      <c r="R87" s="104">
        <f>SUMIFS('2 stopień 20_21'!$I$9:$I$761,'2 stopień 20_21'!$G$9:$G$761,"RYB.01.",'2 stopień 20_21'!$K$9:$K$761,"CKZ Głubczyce")</f>
        <v>0</v>
      </c>
      <c r="S87" s="104">
        <f>SUMIFS('2 stopień 20_21'!$I$9:$I$761,'2 stopień 20_21'!$G$9:$G$761,"RYB.01.",'2 stopień 20_21'!$K$9:$K$761,"CKZ Kędzierzyn Koźle")</f>
        <v>0</v>
      </c>
      <c r="T87" s="104">
        <f>SUMIFS('2 stopień 20_21'!$I$9:$I$761,'2 stopień 20_21'!$G$9:$G$761,"RYB.01.",'2 stopień 20_21'!$K$9:$K$761,"CKZ Kluczbork")</f>
        <v>0</v>
      </c>
      <c r="U87" s="104">
        <f>SUMIFS('2 stopień 20_21'!$I$9:$I$761,'2 stopień 20_21'!$G$9:$G$761,"RYB.01.",'2 stopień 20_21'!$K$9:$K$761,"CKZ Krotoszyn")</f>
        <v>0</v>
      </c>
      <c r="V87" s="104">
        <f>SUMIFS('2 stopień 20_21'!$I$9:$I$761,'2 stopień 20_21'!$G$9:$G$761,"RYB.01.",'2 stopień 20_21'!$K$9:$K$761,"CKZ Olkusz")</f>
        <v>0</v>
      </c>
      <c r="W87" s="104">
        <f>SUMIFS('2 stopień 20_21'!$I$9:$I$761,'2 stopień 20_21'!$G$9:$G$761,"RYB.01.",'2 stopień 20_21'!$K$9:$K$761,"CKZ Wschowa")</f>
        <v>0</v>
      </c>
      <c r="X87" s="104">
        <f>SUMIFS('2 stopień 20_21'!$I$9:$I$761,'2 stopień 20_21'!$G$9:$G$761,"RYB.01.",'2 stopień 20_21'!$K$9:$K$761,"CKZ Zielona Góra")</f>
        <v>0</v>
      </c>
      <c r="Y87" s="104">
        <f>SUMIFS('2 stopień 20_21'!$I$9:$I$761,'2 stopień 20_21'!$G$9:$G$761,"RYB.01.",'2 stopień 20_21'!$K$9:$K$761,"Rzemieślnicza Wałbrzych")</f>
        <v>0</v>
      </c>
      <c r="Z87" s="104">
        <f>SUMIFS('2 stopień 20_21'!$I$9:$I$761,'2 stopień 20_21'!$G$9:$G$761,"RYB.01.",'2 stopień 20_21'!$K$9:$K$761,"CKZ Mosina")</f>
        <v>0</v>
      </c>
      <c r="AA87" s="104">
        <f>SUMIFS('2 stopień 20_21'!$I$9:$I$761,'2 stopień 20_21'!$G$9:$G$761,"RYB.01.",'2 stopień 20_21'!$K$9:$K$761,"CKZ Słupsk")</f>
        <v>1</v>
      </c>
      <c r="AB87" s="104">
        <f>SUMIFS('2 stopień 20_21'!$I$9:$I$761,'2 stopień 20_21'!$G$9:$G$761,"RYB.01.",'2 stopień 20_21'!$K$9:$K$761,"CKZ Opole")</f>
        <v>0</v>
      </c>
      <c r="AC87" s="104">
        <f>SUMIFS('2 stopień 20_21'!$I$9:$I$761,'2 stopień 20_21'!$G$9:$G$761,"RYB.01.",'2 stopień 20_21'!$K$9:$K$761,"CKZ Wrocław")</f>
        <v>0</v>
      </c>
      <c r="AD87" s="104">
        <f>SUMIFS('2 stopień 20_21'!$I$9:$I$761,'2 stopień 20_21'!$G$9:$G$761,"RYB.01.",'2 stopień 20_21'!$K$9:$K$761,"Brzeg Dolny")</f>
        <v>0</v>
      </c>
      <c r="AE87" s="104">
        <f>SUMIFS('2 stopień 20_21'!$I$9:$I$761,'2 stopień 20_21'!$G$9:$G$761,"RYB.01.",'2 stopień 20_21'!$K$9:$K$761,"")</f>
        <v>0</v>
      </c>
      <c r="AF87" s="105">
        <f t="shared" si="1"/>
        <v>1</v>
      </c>
    </row>
    <row r="88" spans="2:32">
      <c r="B88" s="106" t="s">
        <v>269</v>
      </c>
      <c r="C88" s="107">
        <v>432106</v>
      </c>
      <c r="D88" s="107" t="s">
        <v>789</v>
      </c>
      <c r="E88" s="106" t="s">
        <v>788</v>
      </c>
      <c r="F88" s="103">
        <f>SUMIF('2 stopień 20_21'!G$9:G$761,"SPL.01.",'2 stopień 20_21'!I$9:I$761)</f>
        <v>10</v>
      </c>
      <c r="G88" s="104">
        <f>SUMIFS('2 stopień 20_21'!$I$9:$I$761,'2 stopień 20_21'!$G$9:$G$761,"SPL.01.",'2 stopień 20_21'!$K$9:$K$761,"CKZ Bielawa")</f>
        <v>0</v>
      </c>
      <c r="H88" s="104">
        <f>SUMIFS('2 stopień 20_21'!$I$9:$I$761,'2 stopień 20_21'!$G$9:$G$761,"SPL.01.",'2 stopień 20_21'!$K$9:$K$761,"GCKZ Głogów")</f>
        <v>0</v>
      </c>
      <c r="I88" s="104">
        <f>SUMIFS('2 stopień 20_21'!$I$9:$I$761,'2 stopień 20_21'!$G$9:$G$761,"SPL.01.",'2 stopień 20_21'!$K$9:$K$761,"CKZ Jawor")</f>
        <v>0</v>
      </c>
      <c r="J88" s="104">
        <f>SUMIFS('2 stopień 20_21'!$I$9:$I$761,'2 stopień 20_21'!$G$9:$G$761,"SPL.01.",'2 stopień 20_21'!$K$9:$K$761,"JCKZ Jelenia Góra")</f>
        <v>0</v>
      </c>
      <c r="K88" s="104">
        <f>SUMIFS('2 stopień 20_21'!$I$9:$I$761,'2 stopień 20_21'!$G$9:$G$761,"SPL.01.",'2 stopień 20_21'!$K$9:$K$761,"CKZ Kłodzko")</f>
        <v>0</v>
      </c>
      <c r="L88" s="104">
        <f>SUMIFS('2 stopień 20_21'!$I$9:$I$761,'2 stopień 20_21'!$G$9:$G$761,"SPL.01.",'2 stopień 20_21'!$K$9:$K$761,"CKZ Legnica")</f>
        <v>0</v>
      </c>
      <c r="M88" s="104">
        <f>SUMIFS('2 stopień 20_21'!$I$9:$I$761,'2 stopień 20_21'!$G$9:$G$761,"SPL.01.",'2 stopień 20_21'!$K$9:$K$761,"CKZ Oleśnica")</f>
        <v>0</v>
      </c>
      <c r="N88" s="104">
        <f>SUMIFS('2 stopień 20_21'!$I$9:$I$761,'2 stopień 20_21'!$G$9:$G$761,"SPL.01.",'2 stopień 20_21'!$K$9:$K$761,"CKZ Świdnica")</f>
        <v>0</v>
      </c>
      <c r="O88" s="104">
        <f>SUMIFS('2 stopień 20_21'!$I$9:$I$761,'2 stopień 20_21'!$G$9:$G$761,"SPL.01.",'2 stopień 20_21'!$K$9:$K$761,"CKZ Wołów")</f>
        <v>0</v>
      </c>
      <c r="P88" s="104">
        <f>SUMIFS('2 stopień 20_21'!$I$9:$I$761,'2 stopień 20_21'!$G$9:$G$761,"SPL.01.",'2 stopień 20_21'!$K$9:$K$761,"CKZ Ziębice")</f>
        <v>0</v>
      </c>
      <c r="Q88" s="104">
        <f>SUMIFS('2 stopień 20_21'!$I$9:$I$761,'2 stopień 20_21'!$G$9:$G$761,"SPL.01.",'2 stopień 20_21'!$K$9:$K$761,"CKZ Dobrodzień")</f>
        <v>0</v>
      </c>
      <c r="R88" s="104">
        <f>SUMIFS('2 stopień 20_21'!$I$9:$I$761,'2 stopień 20_21'!$G$9:$G$761,"SPL.01.",'2 stopień 20_21'!$K$9:$K$761,"CKZ Głubczyce")</f>
        <v>0</v>
      </c>
      <c r="S88" s="104">
        <f>SUMIFS('2 stopień 20_21'!$I$9:$I$761,'2 stopień 20_21'!$G$9:$G$761,"SPL.01.",'2 stopień 20_21'!$K$9:$K$761,"CKZ Kędzierzyn Koźle")</f>
        <v>0</v>
      </c>
      <c r="T88" s="104">
        <f>SUMIFS('2 stopień 20_21'!$I$9:$I$761,'2 stopień 20_21'!$G$9:$G$761,"SPL.01.",'2 stopień 20_21'!$K$9:$K$761,"CKZ Kluczbork")</f>
        <v>0</v>
      </c>
      <c r="U88" s="104">
        <f>SUMIFS('2 stopień 20_21'!$I$9:$I$761,'2 stopień 20_21'!$G$9:$G$761,"SPL.01.",'2 stopień 20_21'!$K$9:$K$761,"CKZ Krotoszyn")</f>
        <v>0</v>
      </c>
      <c r="V88" s="104">
        <f>SUMIFS('2 stopień 20_21'!$I$9:$I$761,'2 stopień 20_21'!$G$9:$G$761,"SPL.01.",'2 stopień 20_21'!$K$9:$K$761,"CKZ Olkusz")</f>
        <v>0</v>
      </c>
      <c r="W88" s="104">
        <f>SUMIFS('2 stopień 20_21'!$I$9:$I$761,'2 stopień 20_21'!$G$9:$G$761,"SPL.01.",'2 stopień 20_21'!$K$9:$K$761,"CKZ Wschowa")</f>
        <v>0</v>
      </c>
      <c r="X88" s="104">
        <f>SUMIFS('2 stopień 20_21'!$I$9:$I$761,'2 stopień 20_21'!$G$9:$G$761,"SPL.01.",'2 stopień 20_21'!$K$9:$K$761,"CKZ Zielona Góra")</f>
        <v>10</v>
      </c>
      <c r="Y88" s="104">
        <f>SUMIFS('2 stopień 20_21'!$I$9:$I$761,'2 stopień 20_21'!$G$9:$G$761,"SPL.01.",'2 stopień 20_21'!$K$9:$K$761,"Rzemieślnicza Wałbrzych")</f>
        <v>0</v>
      </c>
      <c r="Z88" s="104">
        <f>SUMIFS('2 stopień 20_21'!$I$9:$I$761,'2 stopień 20_21'!$G$9:$G$761,"SPL.01.",'2 stopień 20_21'!$K$9:$K$761,"CKZ Mosina")</f>
        <v>0</v>
      </c>
      <c r="AA88" s="104">
        <f>SUMIFS('2 stopień 20_21'!$I$9:$I$761,'2 stopień 20_21'!$G$9:$G$761,"SPL.01.",'2 stopień 20_21'!$K$9:$K$761,"CKZ Słupsk")</f>
        <v>0</v>
      </c>
      <c r="AB88" s="104">
        <f>SUMIFS('2 stopień 20_21'!$I$9:$I$761,'2 stopień 20_21'!$G$9:$G$761,"SPL.01.",'2 stopień 20_21'!$K$9:$K$761,"CKZ Opole")</f>
        <v>0</v>
      </c>
      <c r="AC88" s="104">
        <f>SUMIFS('2 stopień 20_21'!$I$9:$I$761,'2 stopień 20_21'!$G$9:$G$761,"SPL.01.",'2 stopień 20_21'!$K$9:$K$761,"CKZ Wrocław")</f>
        <v>0</v>
      </c>
      <c r="AD88" s="104">
        <f>SUMIFS('2 stopień 20_21'!$I$9:$I$761,'2 stopień 20_21'!$G$9:$G$761,"SPL.01.",'2 stopień 20_21'!$K$9:$K$761,"Brzeg Dolny")</f>
        <v>0</v>
      </c>
      <c r="AE88" s="104">
        <f>SUMIFS('2 stopień 20_21'!$I$9:$I$761,'2 stopień 20_21'!$G$9:$G$761,"SPL.01.",'2 stopień 20_21'!$K$9:$K$761,"")</f>
        <v>0</v>
      </c>
      <c r="AF88" s="105">
        <f t="shared" si="1"/>
        <v>10</v>
      </c>
    </row>
    <row r="89" spans="2:32">
      <c r="B89" s="106" t="s">
        <v>215</v>
      </c>
      <c r="C89" s="107">
        <v>751201</v>
      </c>
      <c r="D89" s="107" t="s">
        <v>787</v>
      </c>
      <c r="E89" s="106" t="s">
        <v>786</v>
      </c>
      <c r="F89" s="103">
        <f>SUMIF('2 stopień 20_21'!G$9:G$761,"SPC.01.",'2 stopień 20_21'!I$9:I$761)</f>
        <v>134</v>
      </c>
      <c r="G89" s="104">
        <f>SUMIFS('2 stopień 20_21'!$I$9:$I$761,'2 stopień 20_21'!$G$9:$G$761,"SPC.01.",'2 stopień 20_21'!$K$9:$K$761,"CKZ Bielawa")</f>
        <v>0</v>
      </c>
      <c r="H89" s="104">
        <f>SUMIFS('2 stopień 20_21'!$I$9:$I$761,'2 stopień 20_21'!$G$9:$G$761,"SPC.01.",'2 stopień 20_21'!$K$9:$K$761,"GCKZ Głogów")</f>
        <v>0</v>
      </c>
      <c r="I89" s="104">
        <f>SUMIFS('2 stopień 20_21'!$I$9:$I$761,'2 stopień 20_21'!$G$9:$G$761,"SPC.01.",'2 stopień 20_21'!$K$9:$K$761,"CKZ Jawor")</f>
        <v>0</v>
      </c>
      <c r="J89" s="104">
        <f>SUMIFS('2 stopień 20_21'!$I$9:$I$761,'2 stopień 20_21'!$G$9:$G$761,"SPC.01.",'2 stopień 20_21'!$K$9:$K$761,"JCKZ Jelenia Góra")</f>
        <v>0</v>
      </c>
      <c r="K89" s="104">
        <f>SUMIFS('2 stopień 20_21'!$I$9:$I$761,'2 stopień 20_21'!$G$9:$G$761,"SPC.01.",'2 stopień 20_21'!$K$9:$K$761,"CKZ Kłodzko")</f>
        <v>13</v>
      </c>
      <c r="L89" s="104">
        <f>SUMIFS('2 stopień 20_21'!$I$9:$I$761,'2 stopień 20_21'!$G$9:$G$761,"SPC.01.",'2 stopień 20_21'!$K$9:$K$761,"CKZ Legnica")</f>
        <v>56</v>
      </c>
      <c r="M89" s="104">
        <f>SUMIFS('2 stopień 20_21'!$I$9:$I$761,'2 stopień 20_21'!$G$9:$G$761,"SPC.01.",'2 stopień 20_21'!$K$9:$K$761,"CKZ Oleśnica")</f>
        <v>43</v>
      </c>
      <c r="N89" s="104">
        <f>SUMIFS('2 stopień 20_21'!$I$9:$I$761,'2 stopień 20_21'!$G$9:$G$761,"SPC.01.",'2 stopień 20_21'!$K$9:$K$761,"CKZ Świdnica")</f>
        <v>16</v>
      </c>
      <c r="O89" s="104">
        <f>SUMIFS('2 stopień 20_21'!$I$9:$I$761,'2 stopień 20_21'!$G$9:$G$761,"SPC.01.",'2 stopień 20_21'!$K$9:$K$761,"CKZ Wołów")</f>
        <v>0</v>
      </c>
      <c r="P89" s="104">
        <f>SUMIFS('2 stopień 20_21'!$I$9:$I$761,'2 stopień 20_21'!$G$9:$G$761,"SPC.01.",'2 stopień 20_21'!$K$9:$K$761,"CKZ Ziębice")</f>
        <v>0</v>
      </c>
      <c r="Q89" s="104">
        <f>SUMIFS('2 stopień 20_21'!$I$9:$I$761,'2 stopień 20_21'!$G$9:$G$761,"SPC.01.",'2 stopień 20_21'!$K$9:$K$761,"CKZ Dobrodzień")</f>
        <v>0</v>
      </c>
      <c r="R89" s="104">
        <f>SUMIFS('2 stopień 20_21'!$I$9:$I$761,'2 stopień 20_21'!$G$9:$G$761,"SPC.01.",'2 stopień 20_21'!$K$9:$K$761,"CKZ Głubczyce")</f>
        <v>0</v>
      </c>
      <c r="S89" s="104">
        <f>SUMIFS('2 stopień 20_21'!$I$9:$I$761,'2 stopień 20_21'!$G$9:$G$761,"SPC.01.",'2 stopień 20_21'!$K$9:$K$761,"CKZ Kędzierzyn Koźle")</f>
        <v>0</v>
      </c>
      <c r="T89" s="104">
        <f>SUMIFS('2 stopień 20_21'!$I$9:$I$761,'2 stopień 20_21'!$G$9:$G$761,"SPC.01.",'2 stopień 20_21'!$K$9:$K$761,"CKZ Kluczbork")</f>
        <v>0</v>
      </c>
      <c r="U89" s="104">
        <f>SUMIFS('2 stopień 20_21'!$I$9:$I$761,'2 stopień 20_21'!$G$9:$G$761,"SPC.01.",'2 stopień 20_21'!$K$9:$K$761,"CKZ Krotoszyn")</f>
        <v>0</v>
      </c>
      <c r="V89" s="104">
        <f>SUMIFS('2 stopień 20_21'!$I$9:$I$761,'2 stopień 20_21'!$G$9:$G$761,"SPC.01.",'2 stopień 20_21'!$K$9:$K$761,"CKZ Olkusz")</f>
        <v>0</v>
      </c>
      <c r="W89" s="104">
        <f>SUMIFS('2 stopień 20_21'!$I$9:$I$761,'2 stopień 20_21'!$G$9:$G$761,"SPC.01.",'2 stopień 20_21'!$K$9:$K$761,"CKZ Wschowa")</f>
        <v>1</v>
      </c>
      <c r="X89" s="104">
        <f>SUMIFS('2 stopień 20_21'!$I$9:$I$761,'2 stopień 20_21'!$G$9:$G$761,"SPC.01.",'2 stopień 20_21'!$K$9:$K$761,"CKZ Zielona Góra")</f>
        <v>3</v>
      </c>
      <c r="Y89" s="104">
        <f>SUMIFS('2 stopień 20_21'!$I$9:$I$761,'2 stopień 20_21'!$G$9:$G$761,"SPC.01.",'2 stopień 20_21'!$K$9:$K$761,"Rzemieślnicza Wałbrzych")</f>
        <v>0</v>
      </c>
      <c r="Z89" s="104">
        <f>SUMIFS('2 stopień 20_21'!$I$9:$I$761,'2 stopień 20_21'!$G$9:$G$761,"SPC.01.",'2 stopień 20_21'!$K$9:$K$761,"CKZ Mosina")</f>
        <v>0</v>
      </c>
      <c r="AA89" s="104">
        <f>SUMIFS('2 stopień 20_21'!$I$9:$I$761,'2 stopień 20_21'!$G$9:$G$761,"SPC.01.",'2 stopień 20_21'!$K$9:$K$761,"CKZ Słupsk")</f>
        <v>0</v>
      </c>
      <c r="AB89" s="104">
        <f>SUMIFS('2 stopień 20_21'!$I$9:$I$761,'2 stopień 20_21'!$G$9:$G$761,"SPC.01.",'2 stopień 20_21'!$K$9:$K$761,"CKZ Opole")</f>
        <v>2</v>
      </c>
      <c r="AC89" s="104">
        <f>SUMIFS('2 stopień 20_21'!$I$9:$I$761,'2 stopień 20_21'!$G$9:$G$761,"SPC.01.",'2 stopień 20_21'!$K$9:$K$761,"CKZ Wrocław")</f>
        <v>0</v>
      </c>
      <c r="AD89" s="104">
        <f>SUMIFS('2 stopień 20_21'!$I$9:$I$761,'2 stopień 20_21'!$G$9:$G$761,"SPC.01.",'2 stopień 20_21'!$K$9:$K$761,"Brzeg Dolny")</f>
        <v>0</v>
      </c>
      <c r="AE89" s="104">
        <f>SUMIFS('2 stopień 20_21'!$I$9:$I$761,'2 stopień 20_21'!$G$9:$G$761,"SPC.01.",'2 stopień 20_21'!$K$9:$K$761,"")</f>
        <v>0</v>
      </c>
      <c r="AF89" s="105">
        <f t="shared" si="1"/>
        <v>134</v>
      </c>
    </row>
    <row r="90" spans="2:32">
      <c r="B90" s="106" t="s">
        <v>650</v>
      </c>
      <c r="C90" s="107">
        <v>816003</v>
      </c>
      <c r="D90" s="107" t="s">
        <v>785</v>
      </c>
      <c r="E90" s="106" t="s">
        <v>784</v>
      </c>
      <c r="F90" s="103">
        <f>SUMIF('2 stopień 20_21'!G$9:G$761,"SPC.02.",'2 stopień 20_21'!I$9:I$761)</f>
        <v>0</v>
      </c>
      <c r="G90" s="104">
        <f>SUMIFS('2 stopień 20_21'!$I$9:$I$761,'2 stopień 20_21'!$G$9:$G$761,"SPC.02.",'2 stopień 20_21'!$K$9:$K$761,"CKZ Bielawa")</f>
        <v>0</v>
      </c>
      <c r="H90" s="104">
        <f>SUMIFS('2 stopień 20_21'!$I$9:$I$761,'2 stopień 20_21'!$G$9:$G$761,"SPC.02.",'2 stopień 20_21'!$K$9:$K$761,"GCKZ Głogów")</f>
        <v>0</v>
      </c>
      <c r="I90" s="104">
        <f>SUMIFS('2 stopień 20_21'!$I$9:$I$761,'2 stopień 20_21'!$G$9:$G$761,"SPC.02.",'2 stopień 20_21'!$K$9:$K$761,"CKZ Jawor")</f>
        <v>0</v>
      </c>
      <c r="J90" s="104">
        <f>SUMIFS('2 stopień 20_21'!$I$9:$I$761,'2 stopień 20_21'!$G$9:$G$761,"SPC.02.",'2 stopień 20_21'!$K$9:$K$761,"JCKZ Jelenia Góra")</f>
        <v>0</v>
      </c>
      <c r="K90" s="104">
        <f>SUMIFS('2 stopień 20_21'!$I$9:$I$761,'2 stopień 20_21'!$G$9:$G$761,"SPC.02.",'2 stopień 20_21'!$K$9:$K$761,"CKZ Kłodzko")</f>
        <v>0</v>
      </c>
      <c r="L90" s="104">
        <f>SUMIFS('2 stopień 20_21'!$I$9:$I$761,'2 stopień 20_21'!$G$9:$G$761,"SPC.02.",'2 stopień 20_21'!$K$9:$K$761,"CKZ Legnica")</f>
        <v>0</v>
      </c>
      <c r="M90" s="104">
        <f>SUMIFS('2 stopień 20_21'!$I$9:$I$761,'2 stopień 20_21'!$G$9:$G$761,"SPC.02.",'2 stopień 20_21'!$K$9:$K$761,"CKZ Oleśnica")</f>
        <v>0</v>
      </c>
      <c r="N90" s="104">
        <f>SUMIFS('2 stopień 20_21'!$I$9:$I$761,'2 stopień 20_21'!$G$9:$G$761,"SPC.02.",'2 stopień 20_21'!$K$9:$K$761,"CKZ Świdnica")</f>
        <v>0</v>
      </c>
      <c r="O90" s="104">
        <f>SUMIFS('2 stopień 20_21'!$I$9:$I$761,'2 stopień 20_21'!$G$9:$G$761,"SPC.02.",'2 stopień 20_21'!$K$9:$K$761,"CKZ Wołów")</f>
        <v>0</v>
      </c>
      <c r="P90" s="104">
        <f>SUMIFS('2 stopień 20_21'!$I$9:$I$761,'2 stopień 20_21'!$G$9:$G$761,"SPC.02.",'2 stopień 20_21'!$K$9:$K$761,"CKZ Ziębice")</f>
        <v>0</v>
      </c>
      <c r="Q90" s="104">
        <f>SUMIFS('2 stopień 20_21'!$I$9:$I$761,'2 stopień 20_21'!$G$9:$G$761,"SPC.02.",'2 stopień 20_21'!$K$9:$K$761,"CKZ Dobrodzień")</f>
        <v>0</v>
      </c>
      <c r="R90" s="104">
        <f>SUMIFS('2 stopień 20_21'!$I$9:$I$761,'2 stopień 20_21'!$G$9:$G$761,"SPC.02.",'2 stopień 20_21'!$K$9:$K$761,"CKZ Głubczyce")</f>
        <v>0</v>
      </c>
      <c r="S90" s="104">
        <f>SUMIFS('2 stopień 20_21'!$I$9:$I$761,'2 stopień 20_21'!$G$9:$G$761,"SPC.02.",'2 stopień 20_21'!$K$9:$K$761,"CKZ Kędzierzyn Koźle")</f>
        <v>0</v>
      </c>
      <c r="T90" s="104">
        <f>SUMIFS('2 stopień 20_21'!$I$9:$I$761,'2 stopień 20_21'!$G$9:$G$761,"SPC.02.",'2 stopień 20_21'!$K$9:$K$761,"CKZ Kluczbork")</f>
        <v>0</v>
      </c>
      <c r="U90" s="104">
        <f>SUMIFS('2 stopień 20_21'!$I$9:$I$761,'2 stopień 20_21'!$G$9:$G$761,"SPC.02.",'2 stopień 20_21'!$K$9:$K$761,"CKZ Krotoszyn")</f>
        <v>0</v>
      </c>
      <c r="V90" s="104">
        <f>SUMIFS('2 stopień 20_21'!$I$9:$I$761,'2 stopień 20_21'!$G$9:$G$761,"SPC.02.",'2 stopień 20_21'!$K$9:$K$761,"CKZ Olkusz")</f>
        <v>0</v>
      </c>
      <c r="W90" s="104">
        <f>SUMIFS('2 stopień 20_21'!$I$9:$I$761,'2 stopień 20_21'!$G$9:$G$761,"SPC.02.",'2 stopień 20_21'!$K$9:$K$761,"CKZ Wschowa")</f>
        <v>0</v>
      </c>
      <c r="X90" s="104">
        <f>SUMIFS('2 stopień 20_21'!$I$9:$I$761,'2 stopień 20_21'!$G$9:$G$761,"SPC.02.",'2 stopień 20_21'!$K$9:$K$761,"CKZ Zielona Góra")</f>
        <v>0</v>
      </c>
      <c r="Y90" s="104">
        <f>SUMIFS('2 stopień 20_21'!$I$9:$I$761,'2 stopień 20_21'!$G$9:$G$761,"SPC.02.",'2 stopień 20_21'!$K$9:$K$761,"Rzemieślnicza Wałbrzych")</f>
        <v>0</v>
      </c>
      <c r="Z90" s="104">
        <f>SUMIFS('2 stopień 20_21'!$I$9:$I$761,'2 stopień 20_21'!$G$9:$G$761,"SPC.02.",'2 stopień 20_21'!$K$9:$K$761,"CKZ Mosina")</f>
        <v>0</v>
      </c>
      <c r="AA90" s="104">
        <f>SUMIFS('2 stopień 20_21'!$I$9:$I$761,'2 stopień 20_21'!$G$9:$G$761,"SPC.02.",'2 stopień 20_21'!$K$9:$K$761,"CKZ Słupsk")</f>
        <v>0</v>
      </c>
      <c r="AB90" s="104">
        <f>SUMIFS('2 stopień 20_21'!$I$9:$I$761,'2 stopień 20_21'!$G$9:$G$761,"SPC.02.",'2 stopień 20_21'!$K$9:$K$761,"CKZ Opole")</f>
        <v>0</v>
      </c>
      <c r="AC90" s="104">
        <f>SUMIFS('2 stopień 20_21'!$I$9:$I$761,'2 stopień 20_21'!$G$9:$G$761,"SPC.02.",'2 stopień 20_21'!$K$9:$K$761,"CKZ Wrocław")</f>
        <v>0</v>
      </c>
      <c r="AD90" s="104">
        <f>SUMIFS('2 stopień 20_21'!$I$9:$I$761,'2 stopień 20_21'!$G$9:$G$761,"SPC.02.",'2 stopień 20_21'!$K$9:$K$761,"Brzeg Dolny")</f>
        <v>0</v>
      </c>
      <c r="AE90" s="104">
        <f>SUMIFS('2 stopień 20_21'!$I$9:$I$761,'2 stopień 20_21'!$G$9:$G$761,"SPC.02.",'2 stopień 20_21'!$K$9:$K$761,"")</f>
        <v>0</v>
      </c>
      <c r="AF90" s="105">
        <f t="shared" si="1"/>
        <v>0</v>
      </c>
    </row>
    <row r="91" spans="2:32">
      <c r="B91" s="106" t="s">
        <v>88</v>
      </c>
      <c r="C91" s="107">
        <v>751204</v>
      </c>
      <c r="D91" s="107" t="s">
        <v>783</v>
      </c>
      <c r="E91" s="106" t="s">
        <v>782</v>
      </c>
      <c r="F91" s="103">
        <f>SUMIF('2 stopień 20_21'!G$9:G$761,"SPC.03.",'2 stopień 20_21'!I$9:I$761)</f>
        <v>50</v>
      </c>
      <c r="G91" s="104">
        <f>SUMIFS('2 stopień 20_21'!$I$9:$I$761,'2 stopień 20_21'!$G$9:$G$761,"SPC.03.",'2 stopień 20_21'!$K$9:$K$761,"CKZ Bielawa")</f>
        <v>0</v>
      </c>
      <c r="H91" s="104">
        <f>SUMIFS('2 stopień 20_21'!$I$9:$I$761,'2 stopień 20_21'!$G$9:$G$761,"SPC.03.",'2 stopień 20_21'!$K$9:$K$761,"GCKZ Głogów")</f>
        <v>0</v>
      </c>
      <c r="I91" s="104">
        <f>SUMIFS('2 stopień 20_21'!$I$9:$I$761,'2 stopień 20_21'!$G$9:$G$761,"SPC.03.",'2 stopień 20_21'!$K$9:$K$761,"CKZ Jawor")</f>
        <v>0</v>
      </c>
      <c r="J91" s="104">
        <f>SUMIFS('2 stopień 20_21'!$I$9:$I$761,'2 stopień 20_21'!$G$9:$G$761,"SPC.03.",'2 stopień 20_21'!$K$9:$K$761,"JCKZ Jelenia Góra")</f>
        <v>0</v>
      </c>
      <c r="K91" s="104">
        <f>SUMIFS('2 stopień 20_21'!$I$9:$I$761,'2 stopień 20_21'!$G$9:$G$761,"SPC.03.",'2 stopień 20_21'!$K$9:$K$761,"CKZ Kłodzko")</f>
        <v>0</v>
      </c>
      <c r="L91" s="104">
        <f>SUMIFS('2 stopień 20_21'!$I$9:$I$761,'2 stopień 20_21'!$G$9:$G$761,"SPC.03.",'2 stopień 20_21'!$K$9:$K$761,"CKZ Legnica")</f>
        <v>14</v>
      </c>
      <c r="M91" s="104">
        <f>SUMIFS('2 stopień 20_21'!$I$9:$I$761,'2 stopień 20_21'!$G$9:$G$761,"SPC.03.",'2 stopień 20_21'!$K$9:$K$761,"CKZ Oleśnica")</f>
        <v>0</v>
      </c>
      <c r="N91" s="104">
        <f>SUMIFS('2 stopień 20_21'!$I$9:$I$761,'2 stopień 20_21'!$G$9:$G$761,"SPC.03.",'2 stopień 20_21'!$K$9:$K$761,"CKZ Świdnica")</f>
        <v>24</v>
      </c>
      <c r="O91" s="104">
        <f>SUMIFS('2 stopień 20_21'!$I$9:$I$761,'2 stopień 20_21'!$G$9:$G$761,"SPC.03.",'2 stopień 20_21'!$K$9:$K$761,"CKZ Wołów")</f>
        <v>0</v>
      </c>
      <c r="P91" s="104">
        <f>SUMIFS('2 stopień 20_21'!$I$9:$I$761,'2 stopień 20_21'!$G$9:$G$761,"SPC.03.",'2 stopień 20_21'!$K$9:$K$761,"CKZ Ziębice")</f>
        <v>0</v>
      </c>
      <c r="Q91" s="104">
        <f>SUMIFS('2 stopień 20_21'!$I$9:$I$761,'2 stopień 20_21'!$G$9:$G$761,"SPC.03.",'2 stopień 20_21'!$K$9:$K$761,"CKZ Dobrodzień")</f>
        <v>0</v>
      </c>
      <c r="R91" s="104">
        <f>SUMIFS('2 stopień 20_21'!$I$9:$I$761,'2 stopień 20_21'!$G$9:$G$761,"SPC.03.",'2 stopień 20_21'!$K$9:$K$761,"CKZ Głubczyce")</f>
        <v>0</v>
      </c>
      <c r="S91" s="104">
        <f>SUMIFS('2 stopień 20_21'!$I$9:$I$761,'2 stopień 20_21'!$G$9:$G$761,"SPC.03.",'2 stopień 20_21'!$K$9:$K$761,"CKZ Kędzierzyn Koźle")</f>
        <v>0</v>
      </c>
      <c r="T91" s="104">
        <f>SUMIFS('2 stopień 20_21'!$I$9:$I$761,'2 stopień 20_21'!$G$9:$G$761,"SPC.03.",'2 stopień 20_21'!$K$9:$K$761,"CKZ Kluczbork")</f>
        <v>0</v>
      </c>
      <c r="U91" s="104">
        <f>SUMIFS('2 stopień 20_21'!$I$9:$I$761,'2 stopień 20_21'!$G$9:$G$761,"SPC.03.",'2 stopień 20_21'!$K$9:$K$761,"CKZ Krotoszyn")</f>
        <v>0</v>
      </c>
      <c r="V91" s="104">
        <f>SUMIFS('2 stopień 20_21'!$I$9:$I$761,'2 stopień 20_21'!$G$9:$G$761,"SPC.03.",'2 stopień 20_21'!$K$9:$K$761,"CKZ Olkusz")</f>
        <v>0</v>
      </c>
      <c r="W91" s="104">
        <f>SUMIFS('2 stopień 20_21'!$I$9:$I$761,'2 stopień 20_21'!$G$9:$G$761,"SPC.03.",'2 stopień 20_21'!$K$9:$K$761,"CKZ Wschowa")</f>
        <v>10</v>
      </c>
      <c r="X91" s="104">
        <f>SUMIFS('2 stopień 20_21'!$I$9:$I$761,'2 stopień 20_21'!$G$9:$G$761,"SPC.03.",'2 stopień 20_21'!$K$9:$K$761,"CKZ Zielona Góra")</f>
        <v>0</v>
      </c>
      <c r="Y91" s="104">
        <f>SUMIFS('2 stopień 20_21'!$I$9:$I$761,'2 stopień 20_21'!$G$9:$G$761,"SPC.03.",'2 stopień 20_21'!$K$9:$K$761,"Rzemieślnicza Wałbrzych")</f>
        <v>0</v>
      </c>
      <c r="Z91" s="104">
        <f>SUMIFS('2 stopień 20_21'!$I$9:$I$761,'2 stopień 20_21'!$G$9:$G$761,"SPC.03.",'2 stopień 20_21'!$K$9:$K$761,"CKZ Mosina")</f>
        <v>0</v>
      </c>
      <c r="AA91" s="104">
        <f>SUMIFS('2 stopień 20_21'!$I$9:$I$761,'2 stopień 20_21'!$G$9:$G$761,"SPC.03.",'2 stopień 20_21'!$K$9:$K$761,"CKZ Słupsk")</f>
        <v>0</v>
      </c>
      <c r="AB91" s="104">
        <f>SUMIFS('2 stopień 20_21'!$I$9:$I$761,'2 stopień 20_21'!$G$9:$G$761,"SPC.03.",'2 stopień 20_21'!$K$9:$K$761,"CKZ Opole")</f>
        <v>2</v>
      </c>
      <c r="AC91" s="104">
        <f>SUMIFS('2 stopień 20_21'!$I$9:$I$761,'2 stopień 20_21'!$G$9:$G$761,"SPC.03.",'2 stopień 20_21'!$K$9:$K$761,"CKZ Wrocław")</f>
        <v>0</v>
      </c>
      <c r="AD91" s="104">
        <f>SUMIFS('2 stopień 20_21'!$I$9:$I$761,'2 stopień 20_21'!$G$9:$G$761,"SPC.03.",'2 stopień 20_21'!$K$9:$K$761,"Brzeg Dolny")</f>
        <v>0</v>
      </c>
      <c r="AE91" s="104">
        <f>SUMIFS('2 stopień 20_21'!$I$9:$I$761,'2 stopień 20_21'!$G$9:$G$761,"SPC.03.",'2 stopień 20_21'!$K$9:$K$761,"")</f>
        <v>0</v>
      </c>
      <c r="AF91" s="105">
        <f t="shared" si="1"/>
        <v>50</v>
      </c>
    </row>
    <row r="92" spans="2:32">
      <c r="B92" s="106" t="s">
        <v>268</v>
      </c>
      <c r="C92" s="107">
        <v>751108</v>
      </c>
      <c r="D92" s="107" t="s">
        <v>781</v>
      </c>
      <c r="E92" s="106" t="s">
        <v>780</v>
      </c>
      <c r="F92" s="103">
        <f>SUMIF('2 stopień 20_21'!G$9:G$761,"SPC.04.",'2 stopień 20_21'!I$9:I$761)</f>
        <v>1</v>
      </c>
      <c r="G92" s="104">
        <f>SUMIFS('2 stopień 20_21'!$I$9:$I$761,'2 stopień 20_21'!$G$9:$G$761,"SPC.04.",'2 stopień 20_21'!$K$9:$K$761,"CKZ Bielawa")</f>
        <v>0</v>
      </c>
      <c r="H92" s="104">
        <f>SUMIFS('2 stopień 20_21'!$I$9:$I$761,'2 stopień 20_21'!$G$9:$G$761,"SPC.04.",'2 stopień 20_21'!$K$9:$K$761,"GCKZ Głogów")</f>
        <v>0</v>
      </c>
      <c r="I92" s="104">
        <f>SUMIFS('2 stopień 20_21'!$I$9:$I$761,'2 stopień 20_21'!$G$9:$G$761,"SPC.04.",'2 stopień 20_21'!$K$9:$K$761,"CKZ Jawor")</f>
        <v>0</v>
      </c>
      <c r="J92" s="104">
        <f>SUMIFS('2 stopień 20_21'!$I$9:$I$761,'2 stopień 20_21'!$G$9:$G$761,"SPC.04.",'2 stopień 20_21'!$K$9:$K$761,"JCKZ Jelenia Góra")</f>
        <v>0</v>
      </c>
      <c r="K92" s="104">
        <f>SUMIFS('2 stopień 20_21'!$I$9:$I$761,'2 stopień 20_21'!$G$9:$G$761,"SPC.04.",'2 stopień 20_21'!$K$9:$K$761,"CKZ Kłodzko")</f>
        <v>0</v>
      </c>
      <c r="L92" s="104">
        <f>SUMIFS('2 stopień 20_21'!$I$9:$I$761,'2 stopień 20_21'!$G$9:$G$761,"SPC.04.",'2 stopień 20_21'!$K$9:$K$761,"CKZ Legnica")</f>
        <v>0</v>
      </c>
      <c r="M92" s="104">
        <f>SUMIFS('2 stopień 20_21'!$I$9:$I$761,'2 stopień 20_21'!$G$9:$G$761,"SPC.04.",'2 stopień 20_21'!$K$9:$K$761,"CKZ Oleśnica")</f>
        <v>0</v>
      </c>
      <c r="N92" s="104">
        <f>SUMIFS('2 stopień 20_21'!$I$9:$I$761,'2 stopień 20_21'!$G$9:$G$761,"SPC.04.",'2 stopień 20_21'!$K$9:$K$761,"CKZ Świdnica")</f>
        <v>0</v>
      </c>
      <c r="O92" s="104">
        <f>SUMIFS('2 stopień 20_21'!$I$9:$I$761,'2 stopień 20_21'!$G$9:$G$761,"SPC.04.",'2 stopień 20_21'!$K$9:$K$761,"CKZ Wołów")</f>
        <v>0</v>
      </c>
      <c r="P92" s="104">
        <f>SUMIFS('2 stopień 20_21'!$I$9:$I$761,'2 stopień 20_21'!$G$9:$G$761,"SPC.04.",'2 stopień 20_21'!$K$9:$K$761,"CKZ Ziębice")</f>
        <v>0</v>
      </c>
      <c r="Q92" s="104">
        <f>SUMIFS('2 stopień 20_21'!$I$9:$I$761,'2 stopień 20_21'!$G$9:$G$761,"SPC.04.",'2 stopień 20_21'!$K$9:$K$761,"CKZ Dobrodzień")</f>
        <v>0</v>
      </c>
      <c r="R92" s="104">
        <f>SUMIFS('2 stopień 20_21'!$I$9:$I$761,'2 stopień 20_21'!$G$9:$G$761,"SPC.04.",'2 stopień 20_21'!$K$9:$K$761,"CKZ Głubczyce")</f>
        <v>0</v>
      </c>
      <c r="S92" s="104">
        <f>SUMIFS('2 stopień 20_21'!$I$9:$I$761,'2 stopień 20_21'!$G$9:$G$761,"SPC.04.",'2 stopień 20_21'!$K$9:$K$761,"CKZ Kędzierzyn Koźle")</f>
        <v>0</v>
      </c>
      <c r="T92" s="104">
        <f>SUMIFS('2 stopień 20_21'!$I$9:$I$761,'2 stopień 20_21'!$G$9:$G$761,"SPC.04.",'2 stopień 20_21'!$K$9:$K$761,"CKZ Kluczbork")</f>
        <v>0</v>
      </c>
      <c r="U92" s="104">
        <f>SUMIFS('2 stopień 20_21'!$I$9:$I$761,'2 stopień 20_21'!$G$9:$G$761,"SPC.04.",'2 stopień 20_21'!$K$9:$K$761,"CKZ Krotoszyn")</f>
        <v>0</v>
      </c>
      <c r="V92" s="104">
        <f>SUMIFS('2 stopień 20_21'!$I$9:$I$761,'2 stopień 20_21'!$G$9:$G$761,"SPC.04.",'2 stopień 20_21'!$K$9:$K$761,"CKZ Olkusz")</f>
        <v>0</v>
      </c>
      <c r="W92" s="104">
        <f>SUMIFS('2 stopień 20_21'!$I$9:$I$761,'2 stopień 20_21'!$G$9:$G$761,"SPC.04.",'2 stopień 20_21'!$K$9:$K$761,"CKZ Wschowa")</f>
        <v>1</v>
      </c>
      <c r="X92" s="104">
        <f>SUMIFS('2 stopień 20_21'!$I$9:$I$761,'2 stopień 20_21'!$G$9:$G$761,"SPC.04.",'2 stopień 20_21'!$K$9:$K$761,"CKZ Zielona Góra")</f>
        <v>0</v>
      </c>
      <c r="Y92" s="104">
        <f>SUMIFS('2 stopień 20_21'!$I$9:$I$761,'2 stopień 20_21'!$G$9:$G$761,"SPC.04.",'2 stopień 20_21'!$K$9:$K$761,"Rzemieślnicza Wałbrzych")</f>
        <v>0</v>
      </c>
      <c r="Z92" s="104">
        <f>SUMIFS('2 stopień 20_21'!$I$9:$I$761,'2 stopień 20_21'!$G$9:$G$761,"SPC.04.",'2 stopień 20_21'!$K$9:$K$761,"CKZ Mosina")</f>
        <v>0</v>
      </c>
      <c r="AA92" s="104">
        <f>SUMIFS('2 stopień 20_21'!$I$9:$I$761,'2 stopień 20_21'!$G$9:$G$761,"SPC.04.",'2 stopień 20_21'!$K$9:$K$761,"CKZ Słupsk")</f>
        <v>0</v>
      </c>
      <c r="AB92" s="104">
        <f>SUMIFS('2 stopień 20_21'!$I$9:$I$761,'2 stopień 20_21'!$G$9:$G$761,"SPC.04.",'2 stopień 20_21'!$K$9:$K$761,"CKZ Opole")</f>
        <v>0</v>
      </c>
      <c r="AC92" s="104">
        <f>SUMIFS('2 stopień 20_21'!$I$9:$I$761,'2 stopień 20_21'!$G$9:$G$761,"SPC.04.",'2 stopień 20_21'!$K$9:$K$761,"CKZ Wrocław")</f>
        <v>0</v>
      </c>
      <c r="AD92" s="104">
        <f>SUMIFS('2 stopień 20_21'!$I$9:$I$761,'2 stopień 20_21'!$G$9:$G$761,"SPC.04.",'2 stopień 20_21'!$K$9:$K$761,"Brzeg Dolny")</f>
        <v>0</v>
      </c>
      <c r="AE92" s="104">
        <f>SUMIFS('2 stopień 20_21'!$I$9:$I$761,'2 stopień 20_21'!$G$9:$G$761,"SPC.04.",'2 stopień 20_21'!$K$9:$K$761,"")</f>
        <v>0</v>
      </c>
      <c r="AF92" s="105">
        <f t="shared" si="1"/>
        <v>1</v>
      </c>
    </row>
    <row r="93" spans="2:32">
      <c r="B93" s="106" t="s">
        <v>651</v>
      </c>
      <c r="C93" s="107">
        <v>751103</v>
      </c>
      <c r="D93" s="107" t="s">
        <v>779</v>
      </c>
      <c r="E93" s="106" t="s">
        <v>778</v>
      </c>
      <c r="F93" s="103">
        <f>SUMIF('2 stopień 20_21'!G$9:G$761,"SPC.05.",'2 stopień 20_21'!I$9:I$761)</f>
        <v>0</v>
      </c>
      <c r="G93" s="104">
        <f>SUMIFS('2 stopień 20_21'!$I$9:$I$761,'2 stopień 20_21'!$G$9:$G$761,"SPC.05.",'2 stopień 20_21'!$K$9:$K$761,"CKZ Bielawa")</f>
        <v>0</v>
      </c>
      <c r="H93" s="104">
        <f>SUMIFS('2 stopień 20_21'!$I$9:$I$761,'2 stopień 20_21'!$G$9:$G$761,"SPC.05.",'2 stopień 20_21'!$K$9:$K$761,"GCKZ Głogów")</f>
        <v>0</v>
      </c>
      <c r="I93" s="104">
        <f>SUMIFS('2 stopień 20_21'!$I$9:$I$761,'2 stopień 20_21'!$G$9:$G$761,"SPC.05.",'2 stopień 20_21'!$K$9:$K$761,"CKZ Jawor")</f>
        <v>0</v>
      </c>
      <c r="J93" s="104">
        <f>SUMIFS('2 stopień 20_21'!$I$9:$I$761,'2 stopień 20_21'!$G$9:$G$761,"SPC.05.",'2 stopień 20_21'!$K$9:$K$761,"JCKZ Jelenia Góra")</f>
        <v>0</v>
      </c>
      <c r="K93" s="104">
        <f>SUMIFS('2 stopień 20_21'!$I$9:$I$761,'2 stopień 20_21'!$G$9:$G$761,"SPC.05.",'2 stopień 20_21'!$K$9:$K$761,"CKZ Kłodzko")</f>
        <v>0</v>
      </c>
      <c r="L93" s="104">
        <f>SUMIFS('2 stopień 20_21'!$I$9:$I$761,'2 stopień 20_21'!$G$9:$G$761,"SPC.05.",'2 stopień 20_21'!$K$9:$K$761,"CKZ Legnica")</f>
        <v>0</v>
      </c>
      <c r="M93" s="104">
        <f>SUMIFS('2 stopień 20_21'!$I$9:$I$761,'2 stopień 20_21'!$G$9:$G$761,"SPC.05.",'2 stopień 20_21'!$K$9:$K$761,"CKZ Oleśnica")</f>
        <v>0</v>
      </c>
      <c r="N93" s="104">
        <f>SUMIFS('2 stopień 20_21'!$I$9:$I$761,'2 stopień 20_21'!$G$9:$G$761,"SPC.05.",'2 stopień 20_21'!$K$9:$K$761,"CKZ Świdnica")</f>
        <v>0</v>
      </c>
      <c r="O93" s="104">
        <f>SUMIFS('2 stopień 20_21'!$I$9:$I$761,'2 stopień 20_21'!$G$9:$G$761,"SPC.05.",'2 stopień 20_21'!$K$9:$K$761,"CKZ Wołów")</f>
        <v>0</v>
      </c>
      <c r="P93" s="104">
        <f>SUMIFS('2 stopień 20_21'!$I$9:$I$761,'2 stopień 20_21'!$G$9:$G$761,"SPC.05.",'2 stopień 20_21'!$K$9:$K$761,"CKZ Ziębice")</f>
        <v>0</v>
      </c>
      <c r="Q93" s="104">
        <f>SUMIFS('2 stopień 20_21'!$I$9:$I$761,'2 stopień 20_21'!$G$9:$G$761,"SPC.05.",'2 stopień 20_21'!$K$9:$K$761,"CKZ Dobrodzień")</f>
        <v>0</v>
      </c>
      <c r="R93" s="104">
        <f>SUMIFS('2 stopień 20_21'!$I$9:$I$761,'2 stopień 20_21'!$G$9:$G$761,"SPC.05.",'2 stopień 20_21'!$K$9:$K$761,"CKZ Głubczyce")</f>
        <v>0</v>
      </c>
      <c r="S93" s="104">
        <f>SUMIFS('2 stopień 20_21'!$I$9:$I$761,'2 stopień 20_21'!$G$9:$G$761,"SPC.05.",'2 stopień 20_21'!$K$9:$K$761,"CKZ Kędzierzyn Koźle")</f>
        <v>0</v>
      </c>
      <c r="T93" s="104">
        <f>SUMIFS('2 stopień 20_21'!$I$9:$I$761,'2 stopień 20_21'!$G$9:$G$761,"SPC.05.",'2 stopień 20_21'!$K$9:$K$761,"CKZ Kluczbork")</f>
        <v>0</v>
      </c>
      <c r="U93" s="104">
        <f>SUMIFS('2 stopień 20_21'!$I$9:$I$761,'2 stopień 20_21'!$G$9:$G$761,"SPC.05.",'2 stopień 20_21'!$K$9:$K$761,"CKZ Krotoszyn")</f>
        <v>0</v>
      </c>
      <c r="V93" s="104">
        <f>SUMIFS('2 stopień 20_21'!$I$9:$I$761,'2 stopień 20_21'!$G$9:$G$761,"SPC.05.",'2 stopień 20_21'!$K$9:$K$761,"CKZ Olkusz")</f>
        <v>0</v>
      </c>
      <c r="W93" s="104">
        <f>SUMIFS('2 stopień 20_21'!$I$9:$I$761,'2 stopień 20_21'!$G$9:$G$761,"SPC.05.",'2 stopień 20_21'!$K$9:$K$761,"CKZ Wschowa")</f>
        <v>0</v>
      </c>
      <c r="X93" s="104">
        <f>SUMIFS('2 stopień 20_21'!$I$9:$I$761,'2 stopień 20_21'!$G$9:$G$761,"SPC.05.",'2 stopień 20_21'!$K$9:$K$761,"CKZ Zielona Góra")</f>
        <v>0</v>
      </c>
      <c r="Y93" s="104">
        <f>SUMIFS('2 stopień 20_21'!$I$9:$I$761,'2 stopień 20_21'!$G$9:$G$761,"SPC.05.",'2 stopień 20_21'!$K$9:$K$761,"Rzemieślnicza Wałbrzych")</f>
        <v>0</v>
      </c>
      <c r="Z93" s="104">
        <f>SUMIFS('2 stopień 20_21'!$I$9:$I$761,'2 stopień 20_21'!$G$9:$G$761,"SPC.05.",'2 stopień 20_21'!$K$9:$K$761,"CKZ Mosina")</f>
        <v>0</v>
      </c>
      <c r="AA93" s="104">
        <f>SUMIFS('2 stopień 20_21'!$I$9:$I$761,'2 stopień 20_21'!$G$9:$G$761,"SPC.05.",'2 stopień 20_21'!$K$9:$K$761,"CKZ Słupsk")</f>
        <v>0</v>
      </c>
      <c r="AB93" s="104">
        <f>SUMIFS('2 stopień 20_21'!$I$9:$I$761,'2 stopień 20_21'!$G$9:$G$761,"SPC.05.",'2 stopień 20_21'!$K$9:$K$761,"CKZ Opole")</f>
        <v>0</v>
      </c>
      <c r="AC93" s="104">
        <f>SUMIFS('2 stopień 20_21'!$I$9:$I$761,'2 stopień 20_21'!$G$9:$G$761,"SPC.05.",'2 stopień 20_21'!$K$9:$K$761,"CKZ Wrocław")</f>
        <v>0</v>
      </c>
      <c r="AD93" s="104">
        <f>SUMIFS('2 stopień 20_21'!$I$9:$I$761,'2 stopień 20_21'!$G$9:$G$761,"SPC.05.",'2 stopień 20_21'!$K$9:$K$761,"Brzeg Dolny")</f>
        <v>0</v>
      </c>
      <c r="AE93" s="104">
        <f>SUMIFS('2 stopień 20_21'!$I$9:$I$761,'2 stopień 20_21'!$G$9:$G$761,"SPC.05.",'2 stopień 20_21'!$K$9:$K$761,"")</f>
        <v>0</v>
      </c>
      <c r="AF93" s="105">
        <f t="shared" si="1"/>
        <v>0</v>
      </c>
    </row>
    <row r="94" spans="2:32">
      <c r="B94" s="106" t="s">
        <v>652</v>
      </c>
      <c r="C94" s="107">
        <v>742202</v>
      </c>
      <c r="D94" s="107" t="s">
        <v>777</v>
      </c>
      <c r="E94" s="106" t="s">
        <v>776</v>
      </c>
      <c r="F94" s="103">
        <f>SUMIF('2 stopień 20_21'!G$9:G$761,"INF.01.",'2 stopień 20_21'!I$9:I$761)</f>
        <v>0</v>
      </c>
      <c r="G94" s="104">
        <f>SUMIFS('2 stopień 20_21'!$I$9:$I$761,'2 stopień 20_21'!$G$9:$G$761,"INF.01.",'2 stopień 20_21'!$K$9:$K$761,"CKZ Bielawa")</f>
        <v>0</v>
      </c>
      <c r="H94" s="104">
        <f>SUMIFS('2 stopień 20_21'!$I$9:$I$761,'2 stopień 20_21'!$G$9:$G$761,"INF.01.",'2 stopień 20_21'!$K$9:$K$761,"GCKZ Głogów")</f>
        <v>0</v>
      </c>
      <c r="I94" s="104">
        <f>SUMIFS('2 stopień 20_21'!$I$9:$I$761,'2 stopień 20_21'!$G$9:$G$761,"INF.01.",'2 stopień 20_21'!$K$9:$K$761,"CKZ Jawor")</f>
        <v>0</v>
      </c>
      <c r="J94" s="104">
        <f>SUMIFS('2 stopień 20_21'!$I$9:$I$761,'2 stopień 20_21'!$G$9:$G$761,"INF.01.",'2 stopień 20_21'!$K$9:$K$761,"JCKZ Jelenia Góra")</f>
        <v>0</v>
      </c>
      <c r="K94" s="104">
        <f>SUMIFS('2 stopień 20_21'!$I$9:$I$761,'2 stopień 20_21'!$G$9:$G$761,"INF.01.",'2 stopień 20_21'!$K$9:$K$761,"CKZ Kłodzko")</f>
        <v>0</v>
      </c>
      <c r="L94" s="104">
        <f>SUMIFS('2 stopień 20_21'!$I$9:$I$761,'2 stopień 20_21'!$G$9:$G$761,"INF.01.",'2 stopień 20_21'!$K$9:$K$761,"CKZ Legnica")</f>
        <v>0</v>
      </c>
      <c r="M94" s="104">
        <f>SUMIFS('2 stopień 20_21'!$I$9:$I$761,'2 stopień 20_21'!$G$9:$G$761,"INF.01.",'2 stopień 20_21'!$K$9:$K$761,"CKZ Oleśnica")</f>
        <v>0</v>
      </c>
      <c r="N94" s="104">
        <f>SUMIFS('2 stopień 20_21'!$I$9:$I$761,'2 stopień 20_21'!$G$9:$G$761,"INF.01.",'2 stopień 20_21'!$K$9:$K$761,"CKZ Świdnica")</f>
        <v>0</v>
      </c>
      <c r="O94" s="104">
        <f>SUMIFS('2 stopień 20_21'!$I$9:$I$761,'2 stopień 20_21'!$G$9:$G$761,"INF.01.",'2 stopień 20_21'!$K$9:$K$761,"CKZ Wołów")</f>
        <v>0</v>
      </c>
      <c r="P94" s="104">
        <f>SUMIFS('2 stopień 20_21'!$I$9:$I$761,'2 stopień 20_21'!$G$9:$G$761,"INF.01.",'2 stopień 20_21'!$K$9:$K$761,"CKZ Ziębice")</f>
        <v>0</v>
      </c>
      <c r="Q94" s="104">
        <f>SUMIFS('2 stopień 20_21'!$I$9:$I$761,'2 stopień 20_21'!$G$9:$G$761,"INF.01.",'2 stopień 20_21'!$K$9:$K$761,"CKZ Dobrodzień")</f>
        <v>0</v>
      </c>
      <c r="R94" s="104">
        <f>SUMIFS('2 stopień 20_21'!$I$9:$I$761,'2 stopień 20_21'!$G$9:$G$761,"INF.01.",'2 stopień 20_21'!$K$9:$K$761,"CKZ Głubczyce")</f>
        <v>0</v>
      </c>
      <c r="S94" s="104">
        <f>SUMIFS('2 stopień 20_21'!$I$9:$I$761,'2 stopień 20_21'!$G$9:$G$761,"INF.01.",'2 stopień 20_21'!$K$9:$K$761,"CKZ Kędzierzyn Koźle")</f>
        <v>0</v>
      </c>
      <c r="T94" s="104">
        <f>SUMIFS('2 stopień 20_21'!$I$9:$I$761,'2 stopień 20_21'!$G$9:$G$761,"INF.01.",'2 stopień 20_21'!$K$9:$K$761,"CKZ Kluczbork")</f>
        <v>0</v>
      </c>
      <c r="U94" s="104">
        <f>SUMIFS('2 stopień 20_21'!$I$9:$I$761,'2 stopień 20_21'!$G$9:$G$761,"INF.01.",'2 stopień 20_21'!$K$9:$K$761,"CKZ Krotoszyn")</f>
        <v>0</v>
      </c>
      <c r="V94" s="104">
        <f>SUMIFS('2 stopień 20_21'!$I$9:$I$761,'2 stopień 20_21'!$G$9:$G$761,"INF.01.",'2 stopień 20_21'!$K$9:$K$761,"CKZ Olkusz")</f>
        <v>0</v>
      </c>
      <c r="W94" s="104">
        <f>SUMIFS('2 stopień 20_21'!$I$9:$I$761,'2 stopień 20_21'!$G$9:$G$761,"INF.01.",'2 stopień 20_21'!$K$9:$K$761,"CKZ Wschowa")</f>
        <v>0</v>
      </c>
      <c r="X94" s="104">
        <f>SUMIFS('2 stopień 20_21'!$I$9:$I$761,'2 stopień 20_21'!$G$9:$G$761,"INF.01.",'2 stopień 20_21'!$K$9:$K$761,"CKZ Zielona Góra")</f>
        <v>0</v>
      </c>
      <c r="Y94" s="104">
        <f>SUMIFS('2 stopień 20_21'!$I$9:$I$761,'2 stopień 20_21'!$G$9:$G$761,"INF.01.",'2 stopień 20_21'!$K$9:$K$761,"Rzemieślnicza Wałbrzych")</f>
        <v>0</v>
      </c>
      <c r="Z94" s="104">
        <f>SUMIFS('2 stopień 20_21'!$I$9:$I$761,'2 stopień 20_21'!$G$9:$G$761,"INF.01.",'2 stopień 20_21'!$K$9:$K$761,"CKZ Mosina")</f>
        <v>0</v>
      </c>
      <c r="AA94" s="104">
        <f>SUMIFS('2 stopień 20_21'!$I$9:$I$761,'2 stopień 20_21'!$G$9:$G$761,"INF.01.",'2 stopień 20_21'!$K$9:$K$761,"CKZ Słupsk")</f>
        <v>0</v>
      </c>
      <c r="AB94" s="104">
        <f>SUMIFS('2 stopień 20_21'!$I$9:$I$761,'2 stopień 20_21'!$G$9:$G$761,"INF.01.",'2 stopień 20_21'!$K$9:$K$761,"CKZ Opole")</f>
        <v>0</v>
      </c>
      <c r="AC94" s="104">
        <f>SUMIFS('2 stopień 20_21'!$I$9:$I$761,'2 stopień 20_21'!$G$9:$G$761,"INF.01.",'2 stopień 20_21'!$K$9:$K$761,"CKZ Wrocław")</f>
        <v>0</v>
      </c>
      <c r="AD94" s="104">
        <f>SUMIFS('2 stopień 20_21'!$I$9:$I$761,'2 stopień 20_21'!$G$9:$G$761,"INF.01.",'2 stopień 20_21'!$K$9:$K$761,"Brzeg Dolny")</f>
        <v>0</v>
      </c>
      <c r="AE94" s="104">
        <f>SUMIFS('2 stopień 20_21'!$I$9:$I$761,'2 stopień 20_21'!$G$9:$G$761,"INF.01.",'2 stopień 20_21'!$K$9:$K$761,"")</f>
        <v>0</v>
      </c>
      <c r="AF94" s="105">
        <f t="shared" si="1"/>
        <v>0</v>
      </c>
    </row>
    <row r="95" spans="2:32">
      <c r="B95" s="106" t="s">
        <v>518</v>
      </c>
      <c r="C95" s="107">
        <v>832201</v>
      </c>
      <c r="D95" s="107" t="s">
        <v>520</v>
      </c>
      <c r="E95" s="106" t="s">
        <v>775</v>
      </c>
      <c r="F95" s="103">
        <f>SUMIF('2 stopień 20_21'!G$9:G$761,"TDR.01.",'2 stopień 20_21'!I$9:I$761)</f>
        <v>6</v>
      </c>
      <c r="G95" s="104">
        <f>SUMIFS('2 stopień 20_21'!$I$9:$I$761,'2 stopień 20_21'!$G$9:$G$761,"TDR.01.",'2 stopień 20_21'!$K$9:$K$761,"CKZ Bielawa")</f>
        <v>0</v>
      </c>
      <c r="H95" s="104">
        <f>SUMIFS('2 stopień 20_21'!$I$9:$I$761,'2 stopień 20_21'!$G$9:$G$761,"TDR.01.",'2 stopień 20_21'!$K$9:$K$761,"GCKZ Głogów")</f>
        <v>0</v>
      </c>
      <c r="I95" s="104">
        <f>SUMIFS('2 stopień 20_21'!$I$9:$I$761,'2 stopień 20_21'!$G$9:$G$761,"TDR.01.",'2 stopień 20_21'!$K$9:$K$761,"CKZ Jawor")</f>
        <v>0</v>
      </c>
      <c r="J95" s="104">
        <f>SUMIFS('2 stopień 20_21'!$I$9:$I$761,'2 stopień 20_21'!$G$9:$G$761,"TDR.01.",'2 stopień 20_21'!$K$9:$K$761,"JCKZ Jelenia Góra")</f>
        <v>0</v>
      </c>
      <c r="K95" s="104">
        <f>SUMIFS('2 stopień 20_21'!$I$9:$I$761,'2 stopień 20_21'!$G$9:$G$761,"TDR.01.",'2 stopień 20_21'!$K$9:$K$761,"CKZ Kłodzko")</f>
        <v>0</v>
      </c>
      <c r="L95" s="104">
        <f>SUMIFS('2 stopień 20_21'!$I$9:$I$761,'2 stopień 20_21'!$G$9:$G$761,"TDR.01.",'2 stopień 20_21'!$K$9:$K$761,"CKZ Legnica")</f>
        <v>0</v>
      </c>
      <c r="M95" s="104">
        <f>SUMIFS('2 stopień 20_21'!$I$9:$I$761,'2 stopień 20_21'!$G$9:$G$761,"TDR.01.",'2 stopień 20_21'!$K$9:$K$761,"CKZ Oleśnica")</f>
        <v>0</v>
      </c>
      <c r="N95" s="104">
        <f>SUMIFS('2 stopień 20_21'!$I$9:$I$761,'2 stopień 20_21'!$G$9:$G$761,"TDR.01.",'2 stopień 20_21'!$K$9:$K$761,"CKZ Świdnica")</f>
        <v>0</v>
      </c>
      <c r="O95" s="104">
        <f>SUMIFS('2 stopień 20_21'!$I$9:$I$761,'2 stopień 20_21'!$G$9:$G$761,"TDR.01.",'2 stopień 20_21'!$K$9:$K$761,"CKZ Wołów")</f>
        <v>0</v>
      </c>
      <c r="P95" s="104">
        <f>SUMIFS('2 stopień 20_21'!$I$9:$I$761,'2 stopień 20_21'!$G$9:$G$761,"TDR.01.",'2 stopień 20_21'!$K$9:$K$761,"CKZ Ziębice")</f>
        <v>0</v>
      </c>
      <c r="Q95" s="104">
        <f>SUMIFS('2 stopień 20_21'!$I$9:$I$761,'2 stopień 20_21'!$G$9:$G$761,"TDR.01.",'2 stopień 20_21'!$K$9:$K$761,"CKZ Dobrodzień")</f>
        <v>0</v>
      </c>
      <c r="R95" s="104">
        <f>SUMIFS('2 stopień 20_21'!$I$9:$I$761,'2 stopień 20_21'!$G$9:$G$761,"TDR.01.",'2 stopień 20_21'!$K$9:$K$761,"CKZ Głubczyce")</f>
        <v>0</v>
      </c>
      <c r="S95" s="104">
        <f>SUMIFS('2 stopień 20_21'!$I$9:$I$761,'2 stopień 20_21'!$G$9:$G$761,"TDR.01.",'2 stopień 20_21'!$K$9:$K$761,"CKZ Kędzierzyn Koźle")</f>
        <v>0</v>
      </c>
      <c r="T95" s="104">
        <f>SUMIFS('2 stopień 20_21'!$I$9:$I$761,'2 stopień 20_21'!$G$9:$G$761,"TDR.01.",'2 stopień 20_21'!$K$9:$K$761,"CKZ Kluczbork")</f>
        <v>0</v>
      </c>
      <c r="U95" s="104">
        <f>SUMIFS('2 stopień 20_21'!$I$9:$I$761,'2 stopień 20_21'!$G$9:$G$761,"TDR.01.",'2 stopień 20_21'!$K$9:$K$761,"CKZ Krotoszyn")</f>
        <v>0</v>
      </c>
      <c r="V95" s="104">
        <f>SUMIFS('2 stopień 20_21'!$I$9:$I$761,'2 stopień 20_21'!$G$9:$G$761,"TDR.01.",'2 stopień 20_21'!$K$9:$K$761,"CKZ Olkusz")</f>
        <v>0</v>
      </c>
      <c r="W95" s="104">
        <f>SUMIFS('2 stopień 20_21'!$I$9:$I$761,'2 stopień 20_21'!$G$9:$G$761,"TDR.01.",'2 stopień 20_21'!$K$9:$K$761,"CKZ Wschowa")</f>
        <v>6</v>
      </c>
      <c r="X95" s="104">
        <f>SUMIFS('2 stopień 20_21'!$I$9:$I$761,'2 stopień 20_21'!$G$9:$G$761,"TDR.01.",'2 stopień 20_21'!$K$9:$K$761,"CKZ Zielona Góra")</f>
        <v>0</v>
      </c>
      <c r="Y95" s="104">
        <f>SUMIFS('2 stopień 20_21'!$I$9:$I$761,'2 stopień 20_21'!$G$9:$G$761,"TDR.01.",'2 stopień 20_21'!$K$9:$K$761,"Rzemieślnicza Wałbrzych")</f>
        <v>0</v>
      </c>
      <c r="Z95" s="104">
        <f>SUMIFS('2 stopień 20_21'!$I$9:$I$761,'2 stopień 20_21'!$G$9:$G$761,"TDR.01.",'2 stopień 20_21'!$K$9:$K$761,"CKZ Mosina")</f>
        <v>0</v>
      </c>
      <c r="AA95" s="104">
        <f>SUMIFS('2 stopień 20_21'!$I$9:$I$761,'2 stopień 20_21'!$G$9:$G$761,"TDR.01.",'2 stopień 20_21'!$K$9:$K$761,"CKZ Słupsk")</f>
        <v>0</v>
      </c>
      <c r="AB95" s="104">
        <f>SUMIFS('2 stopień 20_21'!$I$9:$I$761,'2 stopień 20_21'!$G$9:$G$761,"TDR.01.",'2 stopień 20_21'!$K$9:$K$761,"CKZ Opole")</f>
        <v>0</v>
      </c>
      <c r="AC95" s="104">
        <f>SUMIFS('2 stopień 20_21'!$I$9:$I$761,'2 stopień 20_21'!$G$9:$G$761,"TDR.01.",'2 stopień 20_21'!$K$9:$K$761,"CKZ Wrocław")</f>
        <v>0</v>
      </c>
      <c r="AD95" s="104">
        <f>SUMIFS('2 stopień 20_21'!$I$9:$I$761,'2 stopień 20_21'!$G$9:$G$761,"TDR.01.",'2 stopień 20_21'!$K$9:$K$761,"Brzeg Dolny")</f>
        <v>0</v>
      </c>
      <c r="AE95" s="104">
        <f>SUMIFS('2 stopień 20_21'!$I$9:$I$761,'2 stopień 20_21'!$G$9:$G$761,"TDR.01.",'2 stopień 20_21'!$K$9:$K$761,"")</f>
        <v>0</v>
      </c>
      <c r="AF95" s="105">
        <f t="shared" si="1"/>
        <v>6</v>
      </c>
    </row>
    <row r="96" spans="2:32">
      <c r="B96" s="106" t="s">
        <v>653</v>
      </c>
      <c r="C96" s="107">
        <v>711603</v>
      </c>
      <c r="D96" s="107" t="s">
        <v>774</v>
      </c>
      <c r="E96" s="106" t="s">
        <v>773</v>
      </c>
      <c r="F96" s="103">
        <f>SUMIF('2 stopień 20_21'!G$9:G$761,"TKO.01.",'2 stopień 20_21'!I$9:I$761)</f>
        <v>0</v>
      </c>
      <c r="G96" s="104">
        <f>SUMIFS('2 stopień 20_21'!$I$9:$I$761,'2 stopień 20_21'!$G$9:$G$761,"TKO.01.",'2 stopień 20_21'!$K$9:$K$761,"CKZ Bielawa")</f>
        <v>0</v>
      </c>
      <c r="H96" s="104">
        <f>SUMIFS('2 stopień 20_21'!$I$9:$I$761,'2 stopień 20_21'!$G$9:$G$761,"TKO.01.",'2 stopień 20_21'!$K$9:$K$761,"GCKZ Głogów")</f>
        <v>0</v>
      </c>
      <c r="I96" s="104">
        <f>SUMIFS('2 stopień 20_21'!$I$9:$I$761,'2 stopień 20_21'!$G$9:$G$761,"TKO.01.",'2 stopień 20_21'!$K$9:$K$761,"CKZ Jawor")</f>
        <v>0</v>
      </c>
      <c r="J96" s="104">
        <f>SUMIFS('2 stopień 20_21'!$I$9:$I$761,'2 stopień 20_21'!$G$9:$G$761,"TKO.01.",'2 stopień 20_21'!$K$9:$K$761,"JCKZ Jelenia Góra")</f>
        <v>0</v>
      </c>
      <c r="K96" s="104">
        <f>SUMIFS('2 stopień 20_21'!$I$9:$I$761,'2 stopień 20_21'!$G$9:$G$761,"TKO.01.",'2 stopień 20_21'!$K$9:$K$761,"CKZ Kłodzko")</f>
        <v>0</v>
      </c>
      <c r="L96" s="104">
        <f>SUMIFS('2 stopień 20_21'!$I$9:$I$761,'2 stopień 20_21'!$G$9:$G$761,"TKO.01.",'2 stopień 20_21'!$K$9:$K$761,"CKZ Legnica")</f>
        <v>0</v>
      </c>
      <c r="M96" s="104">
        <f>SUMIFS('2 stopień 20_21'!$I$9:$I$761,'2 stopień 20_21'!$G$9:$G$761,"TKO.01.",'2 stopień 20_21'!$K$9:$K$761,"CKZ Oleśnica")</f>
        <v>0</v>
      </c>
      <c r="N96" s="104">
        <f>SUMIFS('2 stopień 20_21'!$I$9:$I$761,'2 stopień 20_21'!$G$9:$G$761,"TKO.01.",'2 stopień 20_21'!$K$9:$K$761,"CKZ Świdnica")</f>
        <v>0</v>
      </c>
      <c r="O96" s="104">
        <f>SUMIFS('2 stopień 20_21'!$I$9:$I$761,'2 stopień 20_21'!$G$9:$G$761,"TKO.01.",'2 stopień 20_21'!$K$9:$K$761,"CKZ Wołów")</f>
        <v>0</v>
      </c>
      <c r="P96" s="104">
        <f>SUMIFS('2 stopień 20_21'!$I$9:$I$761,'2 stopień 20_21'!$G$9:$G$761,"TKO.01.",'2 stopień 20_21'!$K$9:$K$761,"CKZ Ziębice")</f>
        <v>0</v>
      </c>
      <c r="Q96" s="104">
        <f>SUMIFS('2 stopień 20_21'!$I$9:$I$761,'2 stopień 20_21'!$G$9:$G$761,"TKO.01.",'2 stopień 20_21'!$K$9:$K$761,"CKZ Dobrodzień")</f>
        <v>0</v>
      </c>
      <c r="R96" s="104">
        <f>SUMIFS('2 stopień 20_21'!$I$9:$I$761,'2 stopień 20_21'!$G$9:$G$761,"TKO.01.",'2 stopień 20_21'!$K$9:$K$761,"CKZ Głubczyce")</f>
        <v>0</v>
      </c>
      <c r="S96" s="104">
        <f>SUMIFS('2 stopień 20_21'!$I$9:$I$761,'2 stopień 20_21'!$G$9:$G$761,"TKO.01.",'2 stopień 20_21'!$K$9:$K$761,"CKZ Kędzierzyn Koźle")</f>
        <v>0</v>
      </c>
      <c r="T96" s="104">
        <f>SUMIFS('2 stopień 20_21'!$I$9:$I$761,'2 stopień 20_21'!$G$9:$G$761,"TKO.01.",'2 stopień 20_21'!$K$9:$K$761,"CKZ Kluczbork")</f>
        <v>0</v>
      </c>
      <c r="U96" s="104">
        <f>SUMIFS('2 stopień 20_21'!$I$9:$I$761,'2 stopień 20_21'!$G$9:$G$761,"TKO.01.",'2 stopień 20_21'!$K$9:$K$761,"CKZ Krotoszyn")</f>
        <v>0</v>
      </c>
      <c r="V96" s="104">
        <f>SUMIFS('2 stopień 20_21'!$I$9:$I$761,'2 stopień 20_21'!$G$9:$G$761,"TKO.01.",'2 stopień 20_21'!$K$9:$K$761,"CKZ Olkusz")</f>
        <v>0</v>
      </c>
      <c r="W96" s="104">
        <f>SUMIFS('2 stopień 20_21'!$I$9:$I$761,'2 stopień 20_21'!$G$9:$G$761,"TKO.01.",'2 stopień 20_21'!$K$9:$K$761,"CKZ Wschowa")</f>
        <v>0</v>
      </c>
      <c r="X96" s="104">
        <f>SUMIFS('2 stopień 20_21'!$I$9:$I$761,'2 stopień 20_21'!$G$9:$G$761,"TKO.01.",'2 stopień 20_21'!$K$9:$K$761,"CKZ Zielona Góra")</f>
        <v>0</v>
      </c>
      <c r="Y96" s="104">
        <f>SUMIFS('2 stopień 20_21'!$I$9:$I$761,'2 stopień 20_21'!$G$9:$G$761,"TKO.01.",'2 stopień 20_21'!$K$9:$K$761,"Rzemieślnicza Wałbrzych")</f>
        <v>0</v>
      </c>
      <c r="Z96" s="104">
        <f>SUMIFS('2 stopień 20_21'!$I$9:$I$761,'2 stopień 20_21'!$G$9:$G$761,"TKO.01.",'2 stopień 20_21'!$K$9:$K$761,"CKZ Mosina")</f>
        <v>0</v>
      </c>
      <c r="AA96" s="104">
        <f>SUMIFS('2 stopień 20_21'!$I$9:$I$761,'2 stopień 20_21'!$G$9:$G$761,"TKO.01.",'2 stopień 20_21'!$K$9:$K$761,"CKZ Słupsk")</f>
        <v>0</v>
      </c>
      <c r="AB96" s="104">
        <f>SUMIFS('2 stopień 20_21'!$I$9:$I$761,'2 stopień 20_21'!$G$9:$G$761,"TKO.01.",'2 stopień 20_21'!$K$9:$K$761,"CKZ Opole")</f>
        <v>0</v>
      </c>
      <c r="AC96" s="104">
        <f>SUMIFS('2 stopień 20_21'!$I$9:$I$761,'2 stopień 20_21'!$G$9:$G$761,"TKO.01.",'2 stopień 20_21'!$K$9:$K$761,"CKZ Wrocław")</f>
        <v>0</v>
      </c>
      <c r="AD96" s="104">
        <f>SUMIFS('2 stopień 20_21'!$I$9:$I$761,'2 stopień 20_21'!$G$9:$G$761,"TKO.01.",'2 stopień 20_21'!$K$9:$K$761,"Brzeg Dolny")</f>
        <v>0</v>
      </c>
      <c r="AE96" s="104">
        <f>SUMIFS('2 stopień 20_21'!$I$9:$I$761,'2 stopień 20_21'!$G$9:$G$761,"TKO.01.",'2 stopień 20_21'!$K$9:$K$761,"")</f>
        <v>0</v>
      </c>
      <c r="AF96" s="105">
        <f t="shared" si="1"/>
        <v>0</v>
      </c>
    </row>
    <row r="97" spans="2:32" ht="17.25" customHeight="1">
      <c r="B97" s="108" t="s">
        <v>654</v>
      </c>
      <c r="C97" s="109">
        <v>723318</v>
      </c>
      <c r="D97" s="109" t="s">
        <v>772</v>
      </c>
      <c r="E97" s="110" t="s">
        <v>771</v>
      </c>
      <c r="F97" s="103">
        <f>SUMIF('2 stopień 20_21'!G$9:G$761,"TKO.09.",'2 stopień 20_21'!I$9:I$761)</f>
        <v>0</v>
      </c>
      <c r="G97" s="104">
        <f>SUMIFS('2 stopień 20_21'!$I$9:$I$761,'2 stopień 20_21'!$G$9:$G$761,"TKO.09.",'2 stopień 20_21'!$K$9:$K$761,"CKZ Bielawa")</f>
        <v>0</v>
      </c>
      <c r="H97" s="104">
        <f>SUMIFS('2 stopień 20_21'!$I$9:$I$761,'2 stopień 20_21'!$G$9:$G$761,"TKO.09.",'2 stopień 20_21'!$K$9:$K$761,"GCKZ Głogów")</f>
        <v>0</v>
      </c>
      <c r="I97" s="104">
        <f>SUMIFS('2 stopień 20_21'!$I$9:$I$761,'2 stopień 20_21'!$G$9:$G$761,"TKO.09.",'2 stopień 20_21'!$K$9:$K$761,"CKZ Jawor")</f>
        <v>0</v>
      </c>
      <c r="J97" s="104">
        <f>SUMIFS('2 stopień 20_21'!$I$9:$I$761,'2 stopień 20_21'!$G$9:$G$761,"TKO.09.",'2 stopień 20_21'!$K$9:$K$761,"JCKZ Jelenia Góra")</f>
        <v>0</v>
      </c>
      <c r="K97" s="104">
        <f>SUMIFS('2 stopień 20_21'!$I$9:$I$761,'2 stopień 20_21'!$G$9:$G$761,"TKO.09.",'2 stopień 20_21'!$K$9:$K$761,"CKZ Kłodzko")</f>
        <v>0</v>
      </c>
      <c r="L97" s="104">
        <f>SUMIFS('2 stopień 20_21'!$I$9:$I$761,'2 stopień 20_21'!$G$9:$G$761,"TKO.09.",'2 stopień 20_21'!$K$9:$K$761,"CKZ Legnica")</f>
        <v>0</v>
      </c>
      <c r="M97" s="104">
        <f>SUMIFS('2 stopień 20_21'!$I$9:$I$761,'2 stopień 20_21'!$G$9:$G$761,"TKO.09.",'2 stopień 20_21'!$K$9:$K$761,"CKZ Oleśnica")</f>
        <v>0</v>
      </c>
      <c r="N97" s="104">
        <f>SUMIFS('2 stopień 20_21'!$I$9:$I$761,'2 stopień 20_21'!$G$9:$G$761,"TKO.09.",'2 stopień 20_21'!$K$9:$K$761,"CKZ Świdnica")</f>
        <v>0</v>
      </c>
      <c r="O97" s="104">
        <f>SUMIFS('2 stopień 20_21'!$I$9:$I$761,'2 stopień 20_21'!$G$9:$G$761,"TKO.09.",'2 stopień 20_21'!$K$9:$K$761,"CKZ Wołów")</f>
        <v>0</v>
      </c>
      <c r="P97" s="104">
        <f>SUMIFS('2 stopień 20_21'!$I$9:$I$761,'2 stopień 20_21'!$G$9:$G$761,"TKO.09.",'2 stopień 20_21'!$K$9:$K$761,"CKZ Ziębice")</f>
        <v>0</v>
      </c>
      <c r="Q97" s="104">
        <f>SUMIFS('2 stopień 20_21'!$I$9:$I$761,'2 stopień 20_21'!$G$9:$G$761,"TKO.09.",'2 stopień 20_21'!$K$9:$K$761,"CKZ Dobrodzień")</f>
        <v>0</v>
      </c>
      <c r="R97" s="104">
        <f>SUMIFS('2 stopień 20_21'!$I$9:$I$761,'2 stopień 20_21'!$G$9:$G$761,"TKO.09.",'2 stopień 20_21'!$K$9:$K$761,"CKZ Głubczyce")</f>
        <v>0</v>
      </c>
      <c r="S97" s="104">
        <f>SUMIFS('2 stopień 20_21'!$I$9:$I$761,'2 stopień 20_21'!$G$9:$G$761,"TKO.09.",'2 stopień 20_21'!$K$9:$K$761,"CKZ Kędzierzyn Koźle")</f>
        <v>0</v>
      </c>
      <c r="T97" s="104">
        <f>SUMIFS('2 stopień 20_21'!$I$9:$I$761,'2 stopień 20_21'!$G$9:$G$761,"TKO.09.",'2 stopień 20_21'!$K$9:$K$761,"CKZ Kluczbork")</f>
        <v>0</v>
      </c>
      <c r="U97" s="104">
        <f>SUMIFS('2 stopień 20_21'!$I$9:$I$761,'2 stopień 20_21'!$G$9:$G$761,"TKO.09.",'2 stopień 20_21'!$K$9:$K$761,"CKZ Krotoszyn")</f>
        <v>0</v>
      </c>
      <c r="V97" s="104">
        <f>SUMIFS('2 stopień 20_21'!$I$9:$I$761,'2 stopień 20_21'!$G$9:$G$761,"TKO.09.",'2 stopień 20_21'!$K$9:$K$761,"CKZ Olkusz")</f>
        <v>0</v>
      </c>
      <c r="W97" s="104">
        <f>SUMIFS('2 stopień 20_21'!$I$9:$I$761,'2 stopień 20_21'!$G$9:$G$761,"TKO.09.",'2 stopień 20_21'!$K$9:$K$761,"CKZ Wschowa")</f>
        <v>0</v>
      </c>
      <c r="X97" s="104">
        <f>SUMIFS('2 stopień 20_21'!$I$9:$I$761,'2 stopień 20_21'!$G$9:$G$761,"TKO.09.",'2 stopień 20_21'!$K$9:$K$761,"CKZ Zielona Góra")</f>
        <v>0</v>
      </c>
      <c r="Y97" s="104">
        <f>SUMIFS('2 stopień 20_21'!$I$9:$I$761,'2 stopień 20_21'!$G$9:$G$761,"TKO.09.",'2 stopień 20_21'!$K$9:$K$761,"Rzemieślnicza Wałbrzych")</f>
        <v>0</v>
      </c>
      <c r="Z97" s="104">
        <f>SUMIFS('2 stopień 20_21'!$I$9:$I$761,'2 stopień 20_21'!$G$9:$G$761,"TKO.09.",'2 stopień 20_21'!$K$9:$K$761,"CKZ Mosina")</f>
        <v>0</v>
      </c>
      <c r="AA97" s="104">
        <f>SUMIFS('2 stopień 20_21'!$I$9:$I$761,'2 stopień 20_21'!$G$9:$G$761,"TKO.09.",'2 stopień 20_21'!$K$9:$K$761,"CKZ Słupsk")</f>
        <v>0</v>
      </c>
      <c r="AB97" s="104">
        <f>SUMIFS('2 stopień 20_21'!$I$9:$I$761,'2 stopień 20_21'!$G$9:$G$761,"TKO.09.",'2 stopień 20_21'!$K$9:$K$761,"CKZ Opole")</f>
        <v>0</v>
      </c>
      <c r="AC97" s="104">
        <f>SUMIFS('2 stopień 20_21'!$I$9:$I$761,'2 stopień 20_21'!$G$9:$G$761,"TKO.09.",'2 stopień 20_21'!$K$9:$K$761,"CKZ Wrocław")</f>
        <v>0</v>
      </c>
      <c r="AD97" s="104">
        <f>SUMIFS('2 stopień 20_21'!$I$9:$I$761,'2 stopień 20_21'!$G$9:$G$761,"TKO.09.",'2 stopień 20_21'!$K$9:$K$761,"Brzeg Dolny")</f>
        <v>0</v>
      </c>
      <c r="AE97" s="104">
        <f>SUMIFS('2 stopień 20_21'!$I$9:$I$761,'2 stopień 20_21'!$G$9:$G$761,"TKO.09.",'2 stopień 20_21'!$K$9:$K$761,"")</f>
        <v>0</v>
      </c>
      <c r="AF97" s="105">
        <f t="shared" si="1"/>
        <v>0</v>
      </c>
    </row>
    <row r="98" spans="2:32">
      <c r="B98" s="106" t="s">
        <v>655</v>
      </c>
      <c r="C98" s="107">
        <v>711701</v>
      </c>
      <c r="D98" s="107" t="s">
        <v>770</v>
      </c>
      <c r="E98" s="106" t="s">
        <v>769</v>
      </c>
      <c r="F98" s="103">
        <f>SUMIF('2 stopień 20_21'!G$9:G$761,"TWO.01.",'2 stopień 20_21'!I$9:I$761)</f>
        <v>0</v>
      </c>
      <c r="G98" s="104">
        <f>SUMIFS('2 stopień 20_21'!$I$9:$I$761,'2 stopień 20_21'!$G$9:$G$761,"TWO.01.",'2 stopień 20_21'!$K$9:$K$761,"CKZ Bielawa")</f>
        <v>0</v>
      </c>
      <c r="H98" s="104">
        <f>SUMIFS('2 stopień 20_21'!$I$9:$I$761,'2 stopień 20_21'!$G$9:$G$761,"TWO.01.",'2 stopień 20_21'!$K$9:$K$761,"GCKZ Głogów")</f>
        <v>0</v>
      </c>
      <c r="I98" s="104">
        <f>SUMIFS('2 stopień 20_21'!$I$9:$I$761,'2 stopień 20_21'!$G$9:$G$761,"TWO.01.",'2 stopień 20_21'!$K$9:$K$761,"CKZ Jawor")</f>
        <v>0</v>
      </c>
      <c r="J98" s="104">
        <f>SUMIFS('2 stopień 20_21'!$I$9:$I$761,'2 stopień 20_21'!$G$9:$G$761,"TWO.01.",'2 stopień 20_21'!$K$9:$K$761,"JCKZ Jelenia Góra")</f>
        <v>0</v>
      </c>
      <c r="K98" s="104">
        <f>SUMIFS('2 stopień 20_21'!$I$9:$I$761,'2 stopień 20_21'!$G$9:$G$761,"TWO.01.",'2 stopień 20_21'!$K$9:$K$761,"CKZ Kłodzko")</f>
        <v>0</v>
      </c>
      <c r="L98" s="104">
        <f>SUMIFS('2 stopień 20_21'!$I$9:$I$761,'2 stopień 20_21'!$G$9:$G$761,"TWO.01.",'2 stopień 20_21'!$K$9:$K$761,"CKZ Legnica")</f>
        <v>0</v>
      </c>
      <c r="M98" s="104">
        <f>SUMIFS('2 stopień 20_21'!$I$9:$I$761,'2 stopień 20_21'!$G$9:$G$761,"TWO.01.",'2 stopień 20_21'!$K$9:$K$761,"CKZ Oleśnica")</f>
        <v>0</v>
      </c>
      <c r="N98" s="104">
        <f>SUMIFS('2 stopień 20_21'!$I$9:$I$761,'2 stopień 20_21'!$G$9:$G$761,"TWO.01.",'2 stopień 20_21'!$K$9:$K$761,"CKZ Świdnica")</f>
        <v>0</v>
      </c>
      <c r="O98" s="104">
        <f>SUMIFS('2 stopień 20_21'!$I$9:$I$761,'2 stopień 20_21'!$G$9:$G$761,"TWO.01.",'2 stopień 20_21'!$K$9:$K$761,"CKZ Wołów")</f>
        <v>0</v>
      </c>
      <c r="P98" s="104">
        <f>SUMIFS('2 stopień 20_21'!$I$9:$I$761,'2 stopień 20_21'!$G$9:$G$761,"TWO.01.",'2 stopień 20_21'!$K$9:$K$761,"CKZ Ziębice")</f>
        <v>0</v>
      </c>
      <c r="Q98" s="104">
        <f>SUMIFS('2 stopień 20_21'!$I$9:$I$761,'2 stopień 20_21'!$G$9:$G$761,"TWO.01.",'2 stopień 20_21'!$K$9:$K$761,"CKZ Dobrodzień")</f>
        <v>0</v>
      </c>
      <c r="R98" s="104">
        <f>SUMIFS('2 stopień 20_21'!$I$9:$I$761,'2 stopień 20_21'!$G$9:$G$761,"TWO.01.",'2 stopień 20_21'!$K$9:$K$761,"CKZ Głubczyce")</f>
        <v>0</v>
      </c>
      <c r="S98" s="104">
        <f>SUMIFS('2 stopień 20_21'!$I$9:$I$761,'2 stopień 20_21'!$G$9:$G$761,"TWO.01.",'2 stopień 20_21'!$K$9:$K$761,"CKZ Kędzierzyn Koźle")</f>
        <v>0</v>
      </c>
      <c r="T98" s="104">
        <f>SUMIFS('2 stopień 20_21'!$I$9:$I$761,'2 stopień 20_21'!$G$9:$G$761,"TWO.01.",'2 stopień 20_21'!$K$9:$K$761,"CKZ Kluczbork")</f>
        <v>0</v>
      </c>
      <c r="U98" s="104">
        <f>SUMIFS('2 stopień 20_21'!$I$9:$I$761,'2 stopień 20_21'!$G$9:$G$761,"TWO.01.",'2 stopień 20_21'!$K$9:$K$761,"CKZ Krotoszyn")</f>
        <v>0</v>
      </c>
      <c r="V98" s="104">
        <f>SUMIFS('2 stopień 20_21'!$I$9:$I$761,'2 stopień 20_21'!$G$9:$G$761,"TWO.01.",'2 stopień 20_21'!$K$9:$K$761,"CKZ Olkusz")</f>
        <v>0</v>
      </c>
      <c r="W98" s="104">
        <f>SUMIFS('2 stopień 20_21'!$I$9:$I$761,'2 stopień 20_21'!$G$9:$G$761,"TWO.01.",'2 stopień 20_21'!$K$9:$K$761,"CKZ Wschowa")</f>
        <v>0</v>
      </c>
      <c r="X98" s="104">
        <f>SUMIFS('2 stopień 20_21'!$I$9:$I$761,'2 stopień 20_21'!$G$9:$G$761,"TWO.01.",'2 stopień 20_21'!$K$9:$K$761,"CKZ Zielona Góra")</f>
        <v>0</v>
      </c>
      <c r="Y98" s="104">
        <f>SUMIFS('2 stopień 20_21'!$I$9:$I$761,'2 stopień 20_21'!$G$9:$G$761,"TWO.01.",'2 stopień 20_21'!$K$9:$K$761,"Rzemieślnicza Wałbrzych")</f>
        <v>0</v>
      </c>
      <c r="Z98" s="104">
        <f>SUMIFS('2 stopień 20_21'!$I$9:$I$761,'2 stopień 20_21'!$G$9:$G$761,"TWO.01.",'2 stopień 20_21'!$K$9:$K$761,"CKZ Mosina")</f>
        <v>0</v>
      </c>
      <c r="AA98" s="104">
        <f>SUMIFS('2 stopień 20_21'!$I$9:$I$761,'2 stopień 20_21'!$G$9:$G$761,"TWO.01.",'2 stopień 20_21'!$K$9:$K$761,"CKZ Słupsk")</f>
        <v>0</v>
      </c>
      <c r="AB98" s="104">
        <f>SUMIFS('2 stopień 20_21'!$I$9:$I$761,'2 stopień 20_21'!$G$9:$G$761,"TWO.01.",'2 stopień 20_21'!$K$9:$K$761,"CKZ Opole")</f>
        <v>0</v>
      </c>
      <c r="AC98" s="104">
        <f>SUMIFS('2 stopień 20_21'!$I$9:$I$761,'2 stopień 20_21'!$G$9:$G$761,"TWO.01.",'2 stopień 20_21'!$K$9:$K$761,"CKZ Wrocław")</f>
        <v>0</v>
      </c>
      <c r="AD98" s="104">
        <f>SUMIFS('2 stopień 20_21'!$I$9:$I$761,'2 stopień 20_21'!$G$9:$G$761,"TWO.01.",'2 stopień 20_21'!$K$9:$K$761,"Brzeg Dolny")</f>
        <v>0</v>
      </c>
      <c r="AE98" s="104">
        <f>SUMIFS('2 stopień 20_21'!$I$9:$I$761,'2 stopień 20_21'!$G$9:$G$761,"TWO.01.",'2 stopień 20_21'!$K$9:$K$761,"")</f>
        <v>0</v>
      </c>
      <c r="AF98" s="105">
        <f t="shared" si="1"/>
        <v>0</v>
      </c>
    </row>
    <row r="99" spans="2:32">
      <c r="B99" s="106" t="s">
        <v>656</v>
      </c>
      <c r="C99" s="107">
        <v>711505</v>
      </c>
      <c r="D99" s="107" t="s">
        <v>768</v>
      </c>
      <c r="E99" s="106" t="s">
        <v>767</v>
      </c>
      <c r="F99" s="103">
        <f>SUMIF('2 stopień 20_21'!G$9:G$761,"TWO.02.",'2 stopień 20_21'!I$9:I$761)</f>
        <v>0</v>
      </c>
      <c r="G99" s="104">
        <f>SUMIFS('2 stopień 20_21'!$I$9:$I$761,'2 stopień 20_21'!$G$9:$G$761,"TWO.02.",'2 stopień 20_21'!$K$9:$K$761,"CKZ Bielawa")</f>
        <v>0</v>
      </c>
      <c r="H99" s="104">
        <f>SUMIFS('2 stopień 20_21'!$I$9:$I$761,'2 stopień 20_21'!$G$9:$G$761,"TWO.02.",'2 stopień 20_21'!$K$9:$K$761,"GCKZ Głogów")</f>
        <v>0</v>
      </c>
      <c r="I99" s="104">
        <f>SUMIFS('2 stopień 20_21'!$I$9:$I$761,'2 stopień 20_21'!$G$9:$G$761,"TWO.02.",'2 stopień 20_21'!$K$9:$K$761,"CKZ Jawor")</f>
        <v>0</v>
      </c>
      <c r="J99" s="104">
        <f>SUMIFS('2 stopień 20_21'!$I$9:$I$761,'2 stopień 20_21'!$G$9:$G$761,"TWO.02.",'2 stopień 20_21'!$K$9:$K$761,"JCKZ Jelenia Góra")</f>
        <v>0</v>
      </c>
      <c r="K99" s="104">
        <f>SUMIFS('2 stopień 20_21'!$I$9:$I$761,'2 stopień 20_21'!$G$9:$G$761,"TWO.02.",'2 stopień 20_21'!$K$9:$K$761,"CKZ Kłodzko")</f>
        <v>0</v>
      </c>
      <c r="L99" s="104">
        <f>SUMIFS('2 stopień 20_21'!$I$9:$I$761,'2 stopień 20_21'!$G$9:$G$761,"TWO.02.",'2 stopień 20_21'!$K$9:$K$761,"CKZ Legnica")</f>
        <v>0</v>
      </c>
      <c r="M99" s="104">
        <f>SUMIFS('2 stopień 20_21'!$I$9:$I$761,'2 stopień 20_21'!$G$9:$G$761,"TWO.02.",'2 stopień 20_21'!$K$9:$K$761,"CKZ Oleśnica")</f>
        <v>0</v>
      </c>
      <c r="N99" s="104">
        <f>SUMIFS('2 stopień 20_21'!$I$9:$I$761,'2 stopień 20_21'!$G$9:$G$761,"TWO.02.",'2 stopień 20_21'!$K$9:$K$761,"CKZ Świdnica")</f>
        <v>0</v>
      </c>
      <c r="O99" s="104">
        <f>SUMIFS('2 stopień 20_21'!$I$9:$I$761,'2 stopień 20_21'!$G$9:$G$761,"TWO.02.",'2 stopień 20_21'!$K$9:$K$761,"CKZ Wołów")</f>
        <v>0</v>
      </c>
      <c r="P99" s="104">
        <f>SUMIFS('2 stopień 20_21'!$I$9:$I$761,'2 stopień 20_21'!$G$9:$G$761,"TWO.02.",'2 stopień 20_21'!$K$9:$K$761,"CKZ Ziębice")</f>
        <v>0</v>
      </c>
      <c r="Q99" s="104">
        <f>SUMIFS('2 stopień 20_21'!$I$9:$I$761,'2 stopień 20_21'!$G$9:$G$761,"TWO.02.",'2 stopień 20_21'!$K$9:$K$761,"CKZ Dobrodzień")</f>
        <v>0</v>
      </c>
      <c r="R99" s="104">
        <f>SUMIFS('2 stopień 20_21'!$I$9:$I$761,'2 stopień 20_21'!$G$9:$G$761,"TWO.02.",'2 stopień 20_21'!$K$9:$K$761,"CKZ Głubczyce")</f>
        <v>0</v>
      </c>
      <c r="S99" s="104">
        <f>SUMIFS('2 stopień 20_21'!$I$9:$I$761,'2 stopień 20_21'!$G$9:$G$761,"TWO.02.",'2 stopień 20_21'!$K$9:$K$761,"CKZ Kędzierzyn Koźle")</f>
        <v>0</v>
      </c>
      <c r="T99" s="104">
        <f>SUMIFS('2 stopień 20_21'!$I$9:$I$761,'2 stopień 20_21'!$G$9:$G$761,"TWO.02.",'2 stopień 20_21'!$K$9:$K$761,"CKZ Kluczbork")</f>
        <v>0</v>
      </c>
      <c r="U99" s="104">
        <f>SUMIFS('2 stopień 20_21'!$I$9:$I$761,'2 stopień 20_21'!$G$9:$G$761,"TWO.02.",'2 stopień 20_21'!$K$9:$K$761,"CKZ Krotoszyn")</f>
        <v>0</v>
      </c>
      <c r="V99" s="104">
        <f>SUMIFS('2 stopień 20_21'!$I$9:$I$761,'2 stopień 20_21'!$G$9:$G$761,"TWO.02.",'2 stopień 20_21'!$K$9:$K$761,"CKZ Olkusz")</f>
        <v>0</v>
      </c>
      <c r="W99" s="104">
        <f>SUMIFS('2 stopień 20_21'!$I$9:$I$761,'2 stopień 20_21'!$G$9:$G$761,"TWO.02.",'2 stopień 20_21'!$K$9:$K$761,"CKZ Wschowa")</f>
        <v>0</v>
      </c>
      <c r="X99" s="104">
        <f>SUMIFS('2 stopień 20_21'!$I$9:$I$761,'2 stopień 20_21'!$G$9:$G$761,"TWO.02.",'2 stopień 20_21'!$K$9:$K$761,"CKZ Zielona Góra")</f>
        <v>0</v>
      </c>
      <c r="Y99" s="104">
        <f>SUMIFS('2 stopień 20_21'!$I$9:$I$761,'2 stopień 20_21'!$G$9:$G$761,"TWO.02.",'2 stopień 20_21'!$K$9:$K$761,"Rzemieślnicza Wałbrzych")</f>
        <v>0</v>
      </c>
      <c r="Z99" s="104">
        <f>SUMIFS('2 stopień 20_21'!$I$9:$I$761,'2 stopień 20_21'!$G$9:$G$761,"TWO.02.",'2 stopień 20_21'!$K$9:$K$761,"CKZ Mosina")</f>
        <v>0</v>
      </c>
      <c r="AA99" s="104">
        <f>SUMIFS('2 stopień 20_21'!$I$9:$I$761,'2 stopień 20_21'!$G$9:$G$761,"TWO.02.",'2 stopień 20_21'!$K$9:$K$761,"CKZ Słupsk")</f>
        <v>0</v>
      </c>
      <c r="AB99" s="104">
        <f>SUMIFS('2 stopień 20_21'!$I$9:$I$761,'2 stopień 20_21'!$G$9:$G$761,"TWO.02.",'2 stopień 20_21'!$K$9:$K$761,"CKZ Opole")</f>
        <v>0</v>
      </c>
      <c r="AC99" s="104">
        <f>SUMIFS('2 stopień 20_21'!$I$9:$I$761,'2 stopień 20_21'!$G$9:$G$761,"TWO.02.",'2 stopień 20_21'!$K$9:$K$761,"CKZ Wrocław")</f>
        <v>0</v>
      </c>
      <c r="AD99" s="104">
        <f>SUMIFS('2 stopień 20_21'!$I$9:$I$761,'2 stopień 20_21'!$G$9:$G$761,"TWO.02.",'2 stopień 20_21'!$K$9:$K$761,"Brzeg Dolny")</f>
        <v>0</v>
      </c>
      <c r="AE99" s="104">
        <f>SUMIFS('2 stopień 20_21'!$I$9:$I$761,'2 stopień 20_21'!$G$9:$G$761,"TWO.02.",'2 stopień 20_21'!$K$9:$K$761,"")</f>
        <v>0</v>
      </c>
      <c r="AF99" s="105">
        <f t="shared" si="1"/>
        <v>0</v>
      </c>
    </row>
    <row r="100" spans="2:32">
      <c r="B100" s="106" t="s">
        <v>657</v>
      </c>
      <c r="C100" s="107">
        <v>721406</v>
      </c>
      <c r="D100" s="107" t="s">
        <v>766</v>
      </c>
      <c r="E100" s="106" t="s">
        <v>765</v>
      </c>
      <c r="F100" s="103">
        <f>SUMIF('2 stopień 20_21'!G$9:G$761,"TWO.03.",'2 stopień 20_21'!I$9:I$761)</f>
        <v>0</v>
      </c>
      <c r="G100" s="104">
        <f>SUMIFS('2 stopień 20_21'!$I$9:$I$761,'2 stopień 20_21'!$G$9:$G$761,"TWO.03.",'2 stopień 20_21'!$K$9:$K$761,"CKZ Bielawa")</f>
        <v>0</v>
      </c>
      <c r="H100" s="104">
        <f>SUMIFS('2 stopień 20_21'!$I$9:$I$761,'2 stopień 20_21'!$G$9:$G$761,"TWO.03.",'2 stopień 20_21'!$K$9:$K$761,"GCKZ Głogów")</f>
        <v>0</v>
      </c>
      <c r="I100" s="104">
        <f>SUMIFS('2 stopień 20_21'!$I$9:$I$761,'2 stopień 20_21'!$G$9:$G$761,"TWO.03.",'2 stopień 20_21'!$K$9:$K$761,"CKZ Jawor")</f>
        <v>0</v>
      </c>
      <c r="J100" s="104">
        <f>SUMIFS('2 stopień 20_21'!$I$9:$I$761,'2 stopień 20_21'!$G$9:$G$761,"TWO.03.",'2 stopień 20_21'!$K$9:$K$761,"JCKZ Jelenia Góra")</f>
        <v>0</v>
      </c>
      <c r="K100" s="104">
        <f>SUMIFS('2 stopień 20_21'!$I$9:$I$761,'2 stopień 20_21'!$G$9:$G$761,"TWO.03.",'2 stopień 20_21'!$K$9:$K$761,"CKZ Kłodzko")</f>
        <v>0</v>
      </c>
      <c r="L100" s="104">
        <f>SUMIFS('2 stopień 20_21'!$I$9:$I$761,'2 stopień 20_21'!$G$9:$G$761,"TWO.03.",'2 stopień 20_21'!$K$9:$K$761,"CKZ Legnica")</f>
        <v>0</v>
      </c>
      <c r="M100" s="104">
        <f>SUMIFS('2 stopień 20_21'!$I$9:$I$761,'2 stopień 20_21'!$G$9:$G$761,"TWO.03.",'2 stopień 20_21'!$K$9:$K$761,"CKZ Oleśnica")</f>
        <v>0</v>
      </c>
      <c r="N100" s="104">
        <f>SUMIFS('2 stopień 20_21'!$I$9:$I$761,'2 stopień 20_21'!$G$9:$G$761,"TWO.03.",'2 stopień 20_21'!$K$9:$K$761,"CKZ Świdnica")</f>
        <v>0</v>
      </c>
      <c r="O100" s="104">
        <f>SUMIFS('2 stopień 20_21'!$I$9:$I$761,'2 stopień 20_21'!$G$9:$G$761,"TWO.03.",'2 stopień 20_21'!$K$9:$K$761,"CKZ Wołów")</f>
        <v>0</v>
      </c>
      <c r="P100" s="104">
        <f>SUMIFS('2 stopień 20_21'!$I$9:$I$761,'2 stopień 20_21'!$G$9:$G$761,"TWO.03.",'2 stopień 20_21'!$K$9:$K$761,"CKZ Ziębice")</f>
        <v>0</v>
      </c>
      <c r="Q100" s="104">
        <f>SUMIFS('2 stopień 20_21'!$I$9:$I$761,'2 stopień 20_21'!$G$9:$G$761,"TWO.03.",'2 stopień 20_21'!$K$9:$K$761,"CKZ Dobrodzień")</f>
        <v>0</v>
      </c>
      <c r="R100" s="104">
        <f>SUMIFS('2 stopień 20_21'!$I$9:$I$761,'2 stopień 20_21'!$G$9:$G$761,"TWO.03.",'2 stopień 20_21'!$K$9:$K$761,"CKZ Głubczyce")</f>
        <v>0</v>
      </c>
      <c r="S100" s="104">
        <f>SUMIFS('2 stopień 20_21'!$I$9:$I$761,'2 stopień 20_21'!$G$9:$G$761,"TWO.03.",'2 stopień 20_21'!$K$9:$K$761,"CKZ Kędzierzyn Koźle")</f>
        <v>0</v>
      </c>
      <c r="T100" s="104">
        <f>SUMIFS('2 stopień 20_21'!$I$9:$I$761,'2 stopień 20_21'!$G$9:$G$761,"TWO.03.",'2 stopień 20_21'!$K$9:$K$761,"CKZ Kluczbork")</f>
        <v>0</v>
      </c>
      <c r="U100" s="104">
        <f>SUMIFS('2 stopień 20_21'!$I$9:$I$761,'2 stopień 20_21'!$G$9:$G$761,"TWO.03.",'2 stopień 20_21'!$K$9:$K$761,"CKZ Krotoszyn")</f>
        <v>0</v>
      </c>
      <c r="V100" s="104">
        <f>SUMIFS('2 stopień 20_21'!$I$9:$I$761,'2 stopień 20_21'!$G$9:$G$761,"TWO.03.",'2 stopień 20_21'!$K$9:$K$761,"CKZ Olkusz")</f>
        <v>0</v>
      </c>
      <c r="W100" s="104">
        <f>SUMIFS('2 stopień 20_21'!$I$9:$I$761,'2 stopień 20_21'!$G$9:$G$761,"TWO.03.",'2 stopień 20_21'!$K$9:$K$761,"CKZ Wschowa")</f>
        <v>0</v>
      </c>
      <c r="X100" s="104">
        <f>SUMIFS('2 stopień 20_21'!$I$9:$I$761,'2 stopień 20_21'!$G$9:$G$761,"TWO.03.",'2 stopień 20_21'!$K$9:$K$761,"CKZ Zielona Góra")</f>
        <v>0</v>
      </c>
      <c r="Y100" s="104">
        <f>SUMIFS('2 stopień 20_21'!$I$9:$I$761,'2 stopień 20_21'!$G$9:$G$761,"TWO.03.",'2 stopień 20_21'!$K$9:$K$761,"Rzemieślnicza Wałbrzych")</f>
        <v>0</v>
      </c>
      <c r="Z100" s="104">
        <f>SUMIFS('2 stopień 20_21'!$I$9:$I$761,'2 stopień 20_21'!$G$9:$G$761,"TWO.03.",'2 stopień 20_21'!$K$9:$K$761,"CKZ Mosina")</f>
        <v>0</v>
      </c>
      <c r="AA100" s="104">
        <f>SUMIFS('2 stopień 20_21'!$I$9:$I$761,'2 stopień 20_21'!$G$9:$G$761,"TWO.03.",'2 stopień 20_21'!$K$9:$K$761,"CKZ Słupsk")</f>
        <v>0</v>
      </c>
      <c r="AB100" s="104">
        <f>SUMIFS('2 stopień 20_21'!$I$9:$I$761,'2 stopień 20_21'!$G$9:$G$761,"TWO.03.",'2 stopień 20_21'!$K$9:$K$761,"CKZ Opole")</f>
        <v>0</v>
      </c>
      <c r="AC100" s="104">
        <f>SUMIFS('2 stopień 20_21'!$I$9:$I$761,'2 stopień 20_21'!$G$9:$G$761,"TWO.03.",'2 stopień 20_21'!$K$9:$K$761,"CKZ Wrocław")</f>
        <v>0</v>
      </c>
      <c r="AD100" s="104">
        <f>SUMIFS('2 stopień 20_21'!$I$9:$I$761,'2 stopień 20_21'!$G$9:$G$761,"TWO.03.",'2 stopień 20_21'!$K$9:$K$761,"Brzeg Dolny")</f>
        <v>0</v>
      </c>
      <c r="AE100" s="104">
        <f>SUMIFS('2 stopień 20_21'!$I$9:$I$761,'2 stopień 20_21'!$G$9:$G$761,"TWO.03.",'2 stopień 20_21'!$K$9:$K$761,"")</f>
        <v>0</v>
      </c>
      <c r="AF100" s="105">
        <f t="shared" si="1"/>
        <v>0</v>
      </c>
    </row>
    <row r="101" spans="2:32">
      <c r="AF101" s="69">
        <f>SUM(AF6:AF100)</f>
        <v>2924</v>
      </c>
    </row>
    <row r="102" spans="2:32">
      <c r="G102" s="3">
        <f>SUM(G6:G100)</f>
        <v>107</v>
      </c>
      <c r="H102" s="3">
        <f t="shared" ref="H102:AE102" si="2">SUM(H6:H100)</f>
        <v>34</v>
      </c>
      <c r="I102" s="3">
        <f t="shared" si="2"/>
        <v>0</v>
      </c>
      <c r="J102" s="3">
        <f t="shared" si="2"/>
        <v>265</v>
      </c>
      <c r="K102" s="3">
        <f t="shared" si="2"/>
        <v>194</v>
      </c>
      <c r="L102" s="3">
        <f t="shared" si="2"/>
        <v>466</v>
      </c>
      <c r="M102" s="3">
        <f t="shared" si="2"/>
        <v>551</v>
      </c>
      <c r="N102" s="3">
        <f t="shared" si="2"/>
        <v>655</v>
      </c>
      <c r="O102" s="3">
        <f t="shared" si="2"/>
        <v>165</v>
      </c>
      <c r="P102" s="3">
        <f t="shared" si="2"/>
        <v>122</v>
      </c>
      <c r="Q102" s="3">
        <f t="shared" si="2"/>
        <v>13</v>
      </c>
      <c r="R102" s="3">
        <f t="shared" si="2"/>
        <v>19</v>
      </c>
      <c r="S102" s="3">
        <f t="shared" si="2"/>
        <v>0</v>
      </c>
      <c r="T102" s="3">
        <f t="shared" si="2"/>
        <v>0</v>
      </c>
      <c r="U102" s="3">
        <f t="shared" si="2"/>
        <v>10</v>
      </c>
      <c r="V102" s="3">
        <f t="shared" si="2"/>
        <v>4</v>
      </c>
      <c r="W102" s="3">
        <f t="shared" si="2"/>
        <v>195</v>
      </c>
      <c r="X102" s="3">
        <f t="shared" si="2"/>
        <v>54</v>
      </c>
      <c r="Y102" s="3">
        <f t="shared" si="2"/>
        <v>41</v>
      </c>
      <c r="Z102" s="3">
        <f t="shared" si="2"/>
        <v>5</v>
      </c>
      <c r="AA102" s="3">
        <f t="shared" si="2"/>
        <v>1</v>
      </c>
      <c r="AB102" s="3">
        <f t="shared" si="2"/>
        <v>11</v>
      </c>
      <c r="AC102" s="3">
        <f t="shared" si="2"/>
        <v>7</v>
      </c>
      <c r="AD102" s="3">
        <f t="shared" ref="AD102" si="3">SUM(AD6:AD100)</f>
        <v>5</v>
      </c>
      <c r="AE102" s="3">
        <f t="shared" si="2"/>
        <v>0</v>
      </c>
    </row>
    <row r="105" spans="2:32" ht="15.75" customHeight="1"/>
    <row r="107" spans="2:32" ht="15.75" customHeight="1"/>
    <row r="109" spans="2:32" ht="15.75" customHeight="1"/>
    <row r="115" ht="15.75" customHeight="1"/>
    <row r="117" ht="15.75" customHeight="1"/>
    <row r="119" ht="15.75" customHeight="1"/>
    <row r="122" ht="15.75" customHeight="1"/>
  </sheetData>
  <autoFilter ref="A5:AF102"/>
  <mergeCells count="3">
    <mergeCell ref="B3:B4"/>
    <mergeCell ref="C3:C4"/>
    <mergeCell ref="G3:A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opLeftCell="E1" zoomScale="90" zoomScaleNormal="90" workbookViewId="0">
      <selection activeCell="AB87" sqref="AB87"/>
    </sheetView>
  </sheetViews>
  <sheetFormatPr defaultColWidth="9.140625" defaultRowHeight="15"/>
  <cols>
    <col min="1" max="1" width="9.140625" style="88"/>
    <col min="2" max="2" width="45.28515625" style="88" bestFit="1" customWidth="1"/>
    <col min="3" max="3" width="7.140625" style="87" bestFit="1" customWidth="1"/>
    <col min="4" max="4" width="6" style="87" bestFit="1" customWidth="1"/>
    <col min="5" max="5" width="74.140625" style="88" bestFit="1" customWidth="1"/>
    <col min="6" max="6" width="10.5703125" style="88" customWidth="1"/>
    <col min="7" max="22" width="9.28515625" style="88" customWidth="1"/>
    <col min="23" max="23" width="7" style="88" customWidth="1"/>
    <col min="24" max="28" width="9.28515625" style="88" customWidth="1"/>
    <col min="29" max="29" width="5.5703125" style="88" customWidth="1"/>
    <col min="30" max="16384" width="9.140625" style="88"/>
  </cols>
  <sheetData>
    <row r="1" spans="1:29">
      <c r="A1" s="85"/>
      <c r="B1" s="86">
        <f ca="1">NOW()</f>
        <v>44169.164513310185</v>
      </c>
    </row>
    <row r="3" spans="1:29">
      <c r="B3" s="439" t="s">
        <v>591</v>
      </c>
      <c r="C3" s="440" t="s">
        <v>658</v>
      </c>
      <c r="D3" s="89"/>
      <c r="E3" s="90" t="s">
        <v>659</v>
      </c>
      <c r="F3" s="91" t="s">
        <v>661</v>
      </c>
      <c r="G3" s="441" t="s">
        <v>660</v>
      </c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3"/>
      <c r="AC3" s="88">
        <f>SUM(G6:AB83)</f>
        <v>1265</v>
      </c>
    </row>
    <row r="4" spans="1:29" ht="15" hidden="1" customHeight="1">
      <c r="B4" s="439"/>
      <c r="C4" s="440"/>
      <c r="D4" s="89"/>
      <c r="E4" s="92"/>
      <c r="F4" s="93"/>
      <c r="G4" s="94"/>
      <c r="H4" s="95"/>
      <c r="I4" s="95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113"/>
      <c r="Z4" s="113"/>
      <c r="AA4" s="113"/>
    </row>
    <row r="5" spans="1:29" ht="81" customHeight="1">
      <c r="B5" s="97">
        <v>1</v>
      </c>
      <c r="C5" s="97">
        <v>2</v>
      </c>
      <c r="D5" s="97"/>
      <c r="E5" s="97">
        <v>9</v>
      </c>
      <c r="F5" s="98">
        <f>SUM(F6:F699)</f>
        <v>1265</v>
      </c>
      <c r="G5" s="126" t="s">
        <v>192</v>
      </c>
      <c r="H5" s="127" t="s">
        <v>528</v>
      </c>
      <c r="I5" s="127" t="s">
        <v>253</v>
      </c>
      <c r="J5" s="127" t="s">
        <v>260</v>
      </c>
      <c r="K5" s="127" t="s">
        <v>530</v>
      </c>
      <c r="L5" s="127" t="s">
        <v>252</v>
      </c>
      <c r="M5" s="127" t="s">
        <v>532</v>
      </c>
      <c r="N5" s="127" t="s">
        <v>256</v>
      </c>
      <c r="O5" s="127" t="s">
        <v>235</v>
      </c>
      <c r="P5" s="127" t="s">
        <v>49</v>
      </c>
      <c r="Q5" s="128" t="s">
        <v>663</v>
      </c>
      <c r="R5" s="128" t="s">
        <v>667</v>
      </c>
      <c r="S5" s="128" t="s">
        <v>668</v>
      </c>
      <c r="T5" s="128" t="s">
        <v>664</v>
      </c>
      <c r="U5" s="128" t="s">
        <v>665</v>
      </c>
      <c r="V5" s="128" t="s">
        <v>666</v>
      </c>
      <c r="W5" s="128" t="s">
        <v>254</v>
      </c>
      <c r="X5" s="128" t="s">
        <v>662</v>
      </c>
      <c r="Y5" s="99" t="s">
        <v>937</v>
      </c>
      <c r="Z5" s="99" t="s">
        <v>940</v>
      </c>
      <c r="AA5" s="99" t="s">
        <v>1513</v>
      </c>
      <c r="AB5" s="99" t="s">
        <v>848</v>
      </c>
    </row>
    <row r="6" spans="1:29">
      <c r="B6" s="100" t="s">
        <v>84</v>
      </c>
      <c r="C6" s="101">
        <v>343101</v>
      </c>
      <c r="D6" s="101" t="s">
        <v>261</v>
      </c>
      <c r="E6" s="100" t="s">
        <v>669</v>
      </c>
      <c r="F6" s="103">
        <f>SUMIF('3 stopień 20_21'!G$9:G$750,D6,'3 stopień 20_21'!I$9:I$751)</f>
        <v>6</v>
      </c>
      <c r="G6" s="104">
        <f>SUMIFS('3 stopień 20_21'!$I$9:$I$765,'3 stopień 20_21'!$G$9:$G$765,D6,'3 stopień 20_21'!$K$9:$K$765,"CKZ Bielawa")</f>
        <v>0</v>
      </c>
      <c r="H6" s="104">
        <f>SUMIFS('3 stopień 20_21'!$I$9:$I$765,'3 stopień 20_21'!$G$9:$G$765,D6,'3 stopień 20_21'!$K$9:$K$765,"GCKZ Głogów")</f>
        <v>0</v>
      </c>
      <c r="I6" s="104">
        <f>SUMIFS('3 stopień 20_21'!$I$9:$I$765,'3 stopień 20_21'!$G$9:$G$765,D6,'3 stopień 20_21'!$K$9:$K$765,"CKZ Jawor")</f>
        <v>0</v>
      </c>
      <c r="J6" s="104">
        <f>SUMIFS('3 stopień 20_21'!$I$9:$I$765,'3 stopień 20_21'!$G$9:$G$765,D6,'3 stopień 20_21'!$K$9:$K$765,"JCKZ Jelenia Góra")</f>
        <v>0</v>
      </c>
      <c r="K6" s="104">
        <f>SUMIFS('3 stopień 20_21'!$I$9:$I$765,'3 stopień 20_21'!$G$9:$G$765,D6,'3 stopień 20_21'!$K$9:$K$765,"CKZ Kłodzko")</f>
        <v>0</v>
      </c>
      <c r="L6" s="104">
        <f>SUMIFS('3 stopień 20_21'!$I$9:$I$765,'3 stopień 20_21'!$G$9:$G$765,D6,'3 stopień 20_21'!$K$9:$K$765,"CKZ Legnica")</f>
        <v>0</v>
      </c>
      <c r="M6" s="104">
        <f>SUMIFS('3 stopień 20_21'!$I$9:$I$765,'3 stopień 20_21'!$G$9:$G$765,D6,'3 stopień 20_21'!$K$9:$K$765,"CKZ Oleśnica")</f>
        <v>0</v>
      </c>
      <c r="N6" s="104">
        <f>SUMIFS('3 stopień 20_21'!$I$9:$I$765,'3 stopień 20_21'!$G$9:$G$765,D6,'3 stopień 20_21'!$K$9:$K$765,"CKZ Świdnica")</f>
        <v>0</v>
      </c>
      <c r="O6" s="104">
        <f>SUMIFS('3 stopień 20_21'!$I$9:$I$765,'3 stopień 20_21'!$G$9:$G$765,D6,'3 stopień 20_21'!$K$9:$K$765,"CKZ Wołów")</f>
        <v>0</v>
      </c>
      <c r="P6" s="104">
        <f>SUMIFS('3 stopień 20_21'!$I$9:$I$765,'3 stopień 20_21'!$G$9:$G$765,D6,'3 stopień 20_21'!$K$9:$K$765,"CKZ Ziębice")</f>
        <v>0</v>
      </c>
      <c r="Q6" s="104">
        <f>SUMIFS('3 stopień 20_21'!$I$9:$I$765,'3 stopień 20_21'!$G$9:$G$765,D6,'3 stopień 20_21'!$K$9:$K$765,"CKZ Dobrodzień")</f>
        <v>0</v>
      </c>
      <c r="R6" s="104">
        <f>SUMIFS('3 stopień 20_21'!$I$9:$I$765,'3 stopień 20_21'!$G$9:$G$765,D6,'3 stopień 20_21'!$K$9:$K$765,"CKZ Głubczyce")</f>
        <v>0</v>
      </c>
      <c r="S6" s="104">
        <f>SUMIFS('3 stopień 20_21'!$I$9:$I$765,'3 stopień 20_21'!$G$9:$G$765,D6,'3 stopień 20_21'!$K$9:$K$765,"CKZ Kędzierzyn Kożle")</f>
        <v>0</v>
      </c>
      <c r="T6" s="104">
        <f>SUMIFS('3 stopień 20_21'!$I$9:$I$765,'3 stopień 20_21'!$G$9:$G$765,D6,'3 stopień 20_21'!$K$9:$K$765,"CKZ Kluczbork")</f>
        <v>0</v>
      </c>
      <c r="U6" s="104">
        <f>SUMIFS('3 stopień 20_21'!$I$9:$I$765,'3 stopień 20_21'!$G$9:$G$765,D6,'3 stopień 20_21'!$K$9:$K$765,"CKZ Krotoszyn")</f>
        <v>0</v>
      </c>
      <c r="V6" s="104">
        <f>SUMIFS('3 stopień 20_21'!$I$9:$I$765,'3 stopień 20_21'!$G$9:$G$765,D6,'3 stopień 20_21'!$K$9:$K$765,"CKZ Olkusz")</f>
        <v>1</v>
      </c>
      <c r="W6" s="104">
        <f>SUMIFS('3 stopień 20_21'!$I$9:$I$765,'3 stopień 20_21'!$G$9:$G$765,D6,'3 stopień 20_21'!$K$9:$K$765,"CKZ Wschowa")</f>
        <v>0</v>
      </c>
      <c r="X6" s="104">
        <f>SUMIFS('3 stopień 20_21'!$I$9:$I$765,'3 stopień 20_21'!$G$9:$G$765,D6,'3 stopień 20_21'!$K$9:$K$765,"CKZ Zielona Góra")</f>
        <v>5</v>
      </c>
      <c r="Y6" s="104">
        <f>SUMIFS('3 stopień 20_21'!$I$9:$I$765,'3 stopień 20_21'!$G$9:$G$765,D6,'3 stopień 20_21'!$K$9:$K$765,"Rzemieślnicza Wałbrzych")</f>
        <v>0</v>
      </c>
      <c r="Z6" s="104">
        <f>SUMIFS('3 stopień 20_21'!$I$9:$I$765,'3 stopień 20_21'!$G$9:$G$765,D6,'3 stopień 20_21'!$K$9:$K$765,"CKZ Mosina")</f>
        <v>0</v>
      </c>
      <c r="AA6" s="104">
        <f>SUMIFS('3 stopień 20_21'!$I$9:$I$765,'3 stopień 20_21'!$G$9:$G$765,D6,'3 stopień 20_21'!$K$9:$K$765,"CKZ Opole")</f>
        <v>0</v>
      </c>
      <c r="AB6" s="104">
        <f>SUMIFS('3 stopień 20_21'!$I$9:$I$765,'3 stopień 20_21'!$G$9:$G$765,D6,'3 stopień 20_21'!$K$9:$K$765,"")</f>
        <v>0</v>
      </c>
      <c r="AC6" s="105">
        <f>SUM(G6:AB6)</f>
        <v>6</v>
      </c>
    </row>
    <row r="7" spans="1:29">
      <c r="B7" s="100" t="s">
        <v>592</v>
      </c>
      <c r="C7" s="101">
        <v>711402</v>
      </c>
      <c r="D7" s="101" t="s">
        <v>861</v>
      </c>
      <c r="E7" s="100" t="s">
        <v>670</v>
      </c>
      <c r="F7" s="103">
        <f>SUMIF('3 stopień 20_21'!G$9:G$750,D7,'3 stopień 20_21'!I$9:I$751)</f>
        <v>5</v>
      </c>
      <c r="G7" s="104">
        <f>SUMIFS('3 stopień 20_21'!$I$9:$I$765,'3 stopień 20_21'!$G$9:$G$765,D7,'3 stopień 20_21'!$K$9:$K$765,"CKZ Bielawa")</f>
        <v>0</v>
      </c>
      <c r="H7" s="104">
        <f>SUMIFS('3 stopień 20_21'!$I$9:$I$765,'3 stopień 20_21'!$G$9:$G$765,D7,'3 stopień 20_21'!$K$9:$K$765,"GCKZ Głogów")</f>
        <v>0</v>
      </c>
      <c r="I7" s="104">
        <f>SUMIFS('3 stopień 20_21'!$I$9:$I$765,'3 stopień 20_21'!$G$9:$G$765,D7,'3 stopień 20_21'!$K$9:$K$765,"CKZ Jawor")</f>
        <v>0</v>
      </c>
      <c r="J7" s="104">
        <f>SUMIFS('3 stopień 20_21'!$I$9:$I$765,'3 stopień 20_21'!$G$9:$G$765,D7,'3 stopień 20_21'!$K$9:$K$765,"JCKZ Jelenia Góra")</f>
        <v>0</v>
      </c>
      <c r="K7" s="104">
        <f>SUMIFS('3 stopień 20_21'!$I$9:$I$765,'3 stopień 20_21'!$G$9:$G$765,D7,'3 stopień 20_21'!$K$9:$K$765,"CKZ Kłodzko")</f>
        <v>0</v>
      </c>
      <c r="L7" s="104">
        <f>SUMIFS('3 stopień 20_21'!$I$9:$I$765,'3 stopień 20_21'!$G$9:$G$765,D7,'3 stopień 20_21'!$K$9:$K$765,"CKZ Legnica")</f>
        <v>0</v>
      </c>
      <c r="M7" s="104">
        <f>SUMIFS('3 stopień 20_21'!$I$9:$I$765,'3 stopień 20_21'!$G$9:$G$765,D7,'3 stopień 20_21'!$K$9:$K$765,"CKZ Oleśnica")</f>
        <v>0</v>
      </c>
      <c r="N7" s="104">
        <f>SUMIFS('3 stopień 20_21'!$I$9:$I$765,'3 stopień 20_21'!$G$9:$G$765,D7,'3 stopień 20_21'!$K$9:$K$765,"CKZ Świdnica")</f>
        <v>5</v>
      </c>
      <c r="O7" s="104">
        <f>SUMIFS('3 stopień 20_21'!$I$9:$I$765,'3 stopień 20_21'!$G$9:$G$765,D7,'3 stopień 20_21'!$K$9:$K$765,"CKZ Wołów")</f>
        <v>0</v>
      </c>
      <c r="P7" s="104">
        <f>SUMIFS('3 stopień 20_21'!$I$9:$I$765,'3 stopień 20_21'!$G$9:$G$765,D7,'3 stopień 20_21'!$K$9:$K$765,"CKZ Ziębice")</f>
        <v>0</v>
      </c>
      <c r="Q7" s="104">
        <f>SUMIFS('3 stopień 20_21'!$I$9:$I$765,'3 stopień 20_21'!$G$9:$G$765,D7,'3 stopień 20_21'!$K$9:$K$765,"CKZ Dobrodzień")</f>
        <v>0</v>
      </c>
      <c r="R7" s="104">
        <f>SUMIFS('3 stopień 20_21'!$I$9:$I$765,'3 stopień 20_21'!$G$9:$G$765,D7,'3 stopień 20_21'!$K$9:$K$765,"CKZ Głubczyce")</f>
        <v>0</v>
      </c>
      <c r="S7" s="104">
        <f>SUMIFS('3 stopień 20_21'!$I$9:$I$765,'3 stopień 20_21'!$G$9:$G$765,D7,'3 stopień 20_21'!$K$9:$K$765,"CKZ Kędzierzyn Kożle")</f>
        <v>0</v>
      </c>
      <c r="T7" s="104">
        <f>SUMIFS('3 stopień 20_21'!$I$9:$I$765,'3 stopień 20_21'!$G$9:$G$765,D7,'3 stopień 20_21'!$K$9:$K$765,"CKZ Kluczbork")</f>
        <v>0</v>
      </c>
      <c r="U7" s="104">
        <f>SUMIFS('3 stopień 20_21'!$I$9:$I$765,'3 stopień 20_21'!$G$9:$G$765,D7,'3 stopień 20_21'!$K$9:$K$765,"CKZ Krotoszyn")</f>
        <v>0</v>
      </c>
      <c r="V7" s="104">
        <f>SUMIFS('3 stopień 20_21'!$I$9:$I$765,'3 stopień 20_21'!$G$9:$G$765,D7,'3 stopień 20_21'!$K$9:$K$765,"CKZ Olkusz")</f>
        <v>0</v>
      </c>
      <c r="W7" s="104">
        <f>SUMIFS('3 stopień 20_21'!$I$9:$I$765,'3 stopień 20_21'!$G$9:$G$765,D7,'3 stopień 20_21'!$K$9:$K$765,"CKZ Wschowa")</f>
        <v>0</v>
      </c>
      <c r="X7" s="104">
        <f>SUMIFS('3 stopień 20_21'!$I$9:$I$765,'3 stopień 20_21'!$G$9:$G$765,D7,'3 stopień 20_21'!$K$9:$K$765,"CKZ Zielona Góra")</f>
        <v>0</v>
      </c>
      <c r="Y7" s="104">
        <f>SUMIFS('3 stopień 20_21'!$I$9:$I$765,'3 stopień 20_21'!$G$9:$G$765,D7,'3 stopień 20_21'!$K$9:$K$765,"Rzemieślnicza Wałbrzych")</f>
        <v>0</v>
      </c>
      <c r="Z7" s="104">
        <f>SUMIFS('3 stopień 20_21'!$I$9:$I$765,'3 stopień 20_21'!$G$9:$G$765,D7,'3 stopień 20_21'!$K$9:$K$765,"CKZ Mosina")</f>
        <v>0</v>
      </c>
      <c r="AA7" s="104">
        <f>SUMIFS('3 stopień 20_21'!$I$9:$I$765,'3 stopień 20_21'!$G$9:$G$765,D7,'3 stopień 20_21'!$K$9:$K$765,"CKZ Opole")</f>
        <v>0</v>
      </c>
      <c r="AB7" s="104">
        <f>SUMIFS('3 stopień 20_21'!$I$9:$I$765,'3 stopień 20_21'!$G$9:$G$765,D7,'3 stopień 20_21'!$K$9:$K$765,"")</f>
        <v>0</v>
      </c>
      <c r="AC7" s="105">
        <f t="shared" ref="AC7:AC70" si="0">SUM(G7:AB7)</f>
        <v>5</v>
      </c>
    </row>
    <row r="8" spans="1:29">
      <c r="B8" s="100" t="s">
        <v>593</v>
      </c>
      <c r="C8" s="101">
        <v>711501</v>
      </c>
      <c r="D8" s="101" t="s">
        <v>867</v>
      </c>
      <c r="E8" s="100" t="s">
        <v>672</v>
      </c>
      <c r="F8" s="103">
        <f>SUMIF('3 stopień 20_21'!G$9:G$750,D8,'3 stopień 20_21'!I$9:I$751)</f>
        <v>0</v>
      </c>
      <c r="G8" s="104">
        <f>SUMIFS('3 stopień 20_21'!$I$9:$I$765,'3 stopień 20_21'!$G$9:$G$765,D8,'3 stopień 20_21'!$K$9:$K$765,"CKZ Bielawa")</f>
        <v>0</v>
      </c>
      <c r="H8" s="104">
        <f>SUMIFS('3 stopień 20_21'!$I$9:$I$765,'3 stopień 20_21'!$G$9:$G$765,D8,'3 stopień 20_21'!$K$9:$K$765,"GCKZ Głogów")</f>
        <v>0</v>
      </c>
      <c r="I8" s="104">
        <f>SUMIFS('3 stopień 20_21'!$I$9:$I$765,'3 stopień 20_21'!$G$9:$G$765,D8,'3 stopień 20_21'!$K$9:$K$765,"CKZ Jawor")</f>
        <v>0</v>
      </c>
      <c r="J8" s="104">
        <f>SUMIFS('3 stopień 20_21'!$I$9:$I$765,'3 stopień 20_21'!$G$9:$G$765,D8,'3 stopień 20_21'!$K$9:$K$765,"JCKZ Jelenia Góra")</f>
        <v>0</v>
      </c>
      <c r="K8" s="104">
        <f>SUMIFS('3 stopień 20_21'!$I$9:$I$765,'3 stopień 20_21'!$G$9:$G$765,D8,'3 stopień 20_21'!$K$9:$K$765,"CKZ Kłodzko")</f>
        <v>0</v>
      </c>
      <c r="L8" s="104">
        <f>SUMIFS('3 stopień 20_21'!$I$9:$I$765,'3 stopień 20_21'!$G$9:$G$765,D8,'3 stopień 20_21'!$K$9:$K$765,"CKZ Legnica")</f>
        <v>0</v>
      </c>
      <c r="M8" s="104">
        <f>SUMIFS('3 stopień 20_21'!$I$9:$I$765,'3 stopień 20_21'!$G$9:$G$765,D8,'3 stopień 20_21'!$K$9:$K$765,"CKZ Oleśnica")</f>
        <v>0</v>
      </c>
      <c r="N8" s="104">
        <f>SUMIFS('3 stopień 20_21'!$I$9:$I$765,'3 stopień 20_21'!$G$9:$G$765,D8,'3 stopień 20_21'!$K$9:$K$765,"CKZ Świdnica")</f>
        <v>0</v>
      </c>
      <c r="O8" s="104">
        <f>SUMIFS('3 stopień 20_21'!$I$9:$I$765,'3 stopień 20_21'!$G$9:$G$765,D8,'3 stopień 20_21'!$K$9:$K$765,"CKZ Wołów")</f>
        <v>0</v>
      </c>
      <c r="P8" s="104">
        <f>SUMIFS('3 stopień 20_21'!$I$9:$I$765,'3 stopień 20_21'!$G$9:$G$765,D8,'3 stopień 20_21'!$K$9:$K$765,"CKZ Ziębice")</f>
        <v>0</v>
      </c>
      <c r="Q8" s="104">
        <f>SUMIFS('3 stopień 20_21'!$I$9:$I$765,'3 stopień 20_21'!$G$9:$G$765,D8,'3 stopień 20_21'!$K$9:$K$765,"CKZ Dobrodzień")</f>
        <v>0</v>
      </c>
      <c r="R8" s="104">
        <f>SUMIFS('3 stopień 20_21'!$I$9:$I$765,'3 stopień 20_21'!$G$9:$G$765,D8,'3 stopień 20_21'!$K$9:$K$765,"CKZ Głubczyce")</f>
        <v>0</v>
      </c>
      <c r="S8" s="104">
        <f>SUMIFS('3 stopień 20_21'!$I$9:$I$765,'3 stopień 20_21'!$G$9:$G$765,D8,'3 stopień 20_21'!$K$9:$K$765,"CKZ Kędzierzyn Kożle")</f>
        <v>0</v>
      </c>
      <c r="T8" s="104">
        <f>SUMIFS('3 stopień 20_21'!$I$9:$I$765,'3 stopień 20_21'!$G$9:$G$765,D8,'3 stopień 20_21'!$K$9:$K$765,"CKZ Kluczbork")</f>
        <v>0</v>
      </c>
      <c r="U8" s="104">
        <f>SUMIFS('3 stopień 20_21'!$I$9:$I$765,'3 stopień 20_21'!$G$9:$G$765,D8,'3 stopień 20_21'!$K$9:$K$765,"CKZ Krotoszyn")</f>
        <v>0</v>
      </c>
      <c r="V8" s="104">
        <f>SUMIFS('3 stopień 20_21'!$I$9:$I$765,'3 stopień 20_21'!$G$9:$G$765,D8,'3 stopień 20_21'!$K$9:$K$765,"CKZ Olkusz")</f>
        <v>0</v>
      </c>
      <c r="W8" s="104">
        <f>SUMIFS('3 stopień 20_21'!$I$9:$I$765,'3 stopień 20_21'!$G$9:$G$765,D8,'3 stopień 20_21'!$K$9:$K$765,"CKZ Wschowa")</f>
        <v>0</v>
      </c>
      <c r="X8" s="104">
        <f>SUMIFS('3 stopień 20_21'!$I$9:$I$765,'3 stopień 20_21'!$G$9:$G$765,D8,'3 stopień 20_21'!$K$9:$K$765,"CKZ Zielona Góra")</f>
        <v>0</v>
      </c>
      <c r="Y8" s="104">
        <f>SUMIFS('3 stopień 20_21'!$I$9:$I$765,'3 stopień 20_21'!$G$9:$G$765,D8,'3 stopień 20_21'!$K$9:$K$765,"Rzemieślnicza Wałbrzych")</f>
        <v>0</v>
      </c>
      <c r="Z8" s="104">
        <f>SUMIFS('3 stopień 20_21'!$I$9:$I$765,'3 stopień 20_21'!$G$9:$G$765,D8,'3 stopień 20_21'!$K$9:$K$765,"CKZ Mosina")</f>
        <v>0</v>
      </c>
      <c r="AA8" s="104">
        <f>SUMIFS('3 stopień 20_21'!$I$9:$I$765,'3 stopień 20_21'!$G$9:$G$765,D8,'3 stopień 20_21'!$K$9:$K$765,"CKZ Opole")</f>
        <v>0</v>
      </c>
      <c r="AB8" s="104">
        <f>SUMIFS('3 stopień 20_21'!$I$9:$I$765,'3 stopień 20_21'!$G$9:$G$765,D8,'3 stopień 20_21'!$K$9:$K$765,"")</f>
        <v>0</v>
      </c>
      <c r="AC8" s="105">
        <f t="shared" si="0"/>
        <v>0</v>
      </c>
    </row>
    <row r="9" spans="1:29">
      <c r="B9" s="100" t="s">
        <v>594</v>
      </c>
      <c r="C9" s="101">
        <v>712101</v>
      </c>
      <c r="D9" s="101" t="s">
        <v>868</v>
      </c>
      <c r="E9" s="100" t="s">
        <v>869</v>
      </c>
      <c r="F9" s="103">
        <f>SUMIF('3 stopień 20_21'!G$9:G$750,D9,'3 stopień 20_21'!I$9:I$751)</f>
        <v>0</v>
      </c>
      <c r="G9" s="104">
        <f>SUMIFS('3 stopień 20_21'!$I$9:$I$765,'3 stopień 20_21'!$G$9:$G$765,D9,'3 stopień 20_21'!$K$9:$K$765,"CKZ Bielawa")</f>
        <v>0</v>
      </c>
      <c r="H9" s="104">
        <f>SUMIFS('3 stopień 20_21'!$I$9:$I$765,'3 stopień 20_21'!$G$9:$G$765,D9,'3 stopień 20_21'!$K$9:$K$765,"GCKZ Głogów")</f>
        <v>0</v>
      </c>
      <c r="I9" s="104">
        <f>SUMIFS('3 stopień 20_21'!$I$9:$I$765,'3 stopień 20_21'!$G$9:$G$765,D9,'3 stopień 20_21'!$K$9:$K$765,"CKZ Jawor")</f>
        <v>0</v>
      </c>
      <c r="J9" s="104">
        <f>SUMIFS('3 stopień 20_21'!$I$9:$I$765,'3 stopień 20_21'!$G$9:$G$765,D9,'3 stopień 20_21'!$K$9:$K$765,"JCKZ Jelenia Góra")</f>
        <v>0</v>
      </c>
      <c r="K9" s="104">
        <f>SUMIFS('3 stopień 20_21'!$I$9:$I$765,'3 stopień 20_21'!$G$9:$G$765,D9,'3 stopień 20_21'!$K$9:$K$765,"CKZ Kłodzko")</f>
        <v>0</v>
      </c>
      <c r="L9" s="104">
        <f>SUMIFS('3 stopień 20_21'!$I$9:$I$765,'3 stopień 20_21'!$G$9:$G$765,D9,'3 stopień 20_21'!$K$9:$K$765,"CKZ Legnica")</f>
        <v>0</v>
      </c>
      <c r="M9" s="104">
        <f>SUMIFS('3 stopień 20_21'!$I$9:$I$765,'3 stopień 20_21'!$G$9:$G$765,D9,'3 stopień 20_21'!$K$9:$K$765,"CKZ Oleśnica")</f>
        <v>0</v>
      </c>
      <c r="N9" s="104">
        <f>SUMIFS('3 stopień 20_21'!$I$9:$I$765,'3 stopień 20_21'!$G$9:$G$765,D9,'3 stopień 20_21'!$K$9:$K$765,"CKZ Świdnica")</f>
        <v>0</v>
      </c>
      <c r="O9" s="104">
        <f>SUMIFS('3 stopień 20_21'!$I$9:$I$765,'3 stopień 20_21'!$G$9:$G$765,D9,'3 stopień 20_21'!$K$9:$K$765,"CKZ Wołów")</f>
        <v>0</v>
      </c>
      <c r="P9" s="104">
        <f>SUMIFS('3 stopień 20_21'!$I$9:$I$765,'3 stopień 20_21'!$G$9:$G$765,D9,'3 stopień 20_21'!$K$9:$K$765,"CKZ Ziębice")</f>
        <v>0</v>
      </c>
      <c r="Q9" s="104">
        <f>SUMIFS('3 stopień 20_21'!$I$9:$I$765,'3 stopień 20_21'!$G$9:$G$765,D9,'3 stopień 20_21'!$K$9:$K$765,"CKZ Dobrodzień")</f>
        <v>0</v>
      </c>
      <c r="R9" s="104">
        <f>SUMIFS('3 stopień 20_21'!$I$9:$I$765,'3 stopień 20_21'!$G$9:$G$765,D9,'3 stopień 20_21'!$K$9:$K$765,"CKZ Głubczyce")</f>
        <v>0</v>
      </c>
      <c r="S9" s="104">
        <f>SUMIFS('3 stopień 20_21'!$I$9:$I$765,'3 stopień 20_21'!$G$9:$G$765,D9,'3 stopień 20_21'!$K$9:$K$765,"CKZ Kędzierzyn Kożle")</f>
        <v>0</v>
      </c>
      <c r="T9" s="104">
        <f>SUMIFS('3 stopień 20_21'!$I$9:$I$765,'3 stopień 20_21'!$G$9:$G$765,D9,'3 stopień 20_21'!$K$9:$K$765,"CKZ Kluczbork")</f>
        <v>0</v>
      </c>
      <c r="U9" s="104">
        <f>SUMIFS('3 stopień 20_21'!$I$9:$I$765,'3 stopień 20_21'!$G$9:$G$765,D9,'3 stopień 20_21'!$K$9:$K$765,"CKZ Krotoszyn")</f>
        <v>0</v>
      </c>
      <c r="V9" s="104">
        <f>SUMIFS('3 stopień 20_21'!$I$9:$I$765,'3 stopień 20_21'!$G$9:$G$765,D9,'3 stopień 20_21'!$K$9:$K$765,"CKZ Olkusz")</f>
        <v>0</v>
      </c>
      <c r="W9" s="104">
        <f>SUMIFS('3 stopień 20_21'!$I$9:$I$765,'3 stopień 20_21'!$G$9:$G$765,D9,'3 stopień 20_21'!$K$9:$K$765,"CKZ Wschowa")</f>
        <v>0</v>
      </c>
      <c r="X9" s="104">
        <f>SUMIFS('3 stopień 20_21'!$I$9:$I$765,'3 stopień 20_21'!$G$9:$G$765,D9,'3 stopień 20_21'!$K$9:$K$765,"CKZ Zielona Góra")</f>
        <v>0</v>
      </c>
      <c r="Y9" s="104">
        <f>SUMIFS('3 stopień 20_21'!$I$9:$I$765,'3 stopień 20_21'!$G$9:$G$765,D9,'3 stopień 20_21'!$K$9:$K$765,"Rzemieślnicza Wałbrzych")</f>
        <v>0</v>
      </c>
      <c r="Z9" s="104">
        <f>SUMIFS('3 stopień 20_21'!$I$9:$I$765,'3 stopień 20_21'!$G$9:$G$765,D9,'3 stopień 20_21'!$K$9:$K$765,"CKZ Mosina")</f>
        <v>0</v>
      </c>
      <c r="AA9" s="104">
        <f>SUMIFS('3 stopień 20_21'!$I$9:$I$765,'3 stopień 20_21'!$G$9:$G$765,D9,'3 stopień 20_21'!$K$9:$K$765,"CKZ Opole")</f>
        <v>0</v>
      </c>
      <c r="AB9" s="104">
        <f>SUMIFS('3 stopień 20_21'!$I$9:$I$765,'3 stopień 20_21'!$G$9:$G$765,D9,'3 stopień 20_21'!$K$9:$K$765,"")</f>
        <v>0</v>
      </c>
      <c r="AC9" s="105">
        <f t="shared" si="0"/>
        <v>0</v>
      </c>
    </row>
    <row r="10" spans="1:29">
      <c r="B10" s="100" t="s">
        <v>595</v>
      </c>
      <c r="C10" s="101">
        <v>711301</v>
      </c>
      <c r="D10" s="101" t="s">
        <v>870</v>
      </c>
      <c r="E10" s="100" t="s">
        <v>676</v>
      </c>
      <c r="F10" s="103">
        <f>SUMIF('3 stopień 20_21'!G$9:G$750,D10,'3 stopień 20_21'!I$9:I$751)</f>
        <v>0</v>
      </c>
      <c r="G10" s="104">
        <f>SUMIFS('3 stopień 20_21'!$I$9:$I$765,'3 stopień 20_21'!$G$9:$G$765,D10,'3 stopień 20_21'!$K$9:$K$765,"CKZ Bielawa")</f>
        <v>0</v>
      </c>
      <c r="H10" s="104">
        <f>SUMIFS('3 stopień 20_21'!$I$9:$I$765,'3 stopień 20_21'!$G$9:$G$765,D10,'3 stopień 20_21'!$K$9:$K$765,"GCKZ Głogów")</f>
        <v>0</v>
      </c>
      <c r="I10" s="104">
        <f>SUMIFS('3 stopień 20_21'!$I$9:$I$765,'3 stopień 20_21'!$G$9:$G$765,D10,'3 stopień 20_21'!$K$9:$K$765,"CKZ Jawor")</f>
        <v>0</v>
      </c>
      <c r="J10" s="104">
        <f>SUMIFS('3 stopień 20_21'!$I$9:$I$765,'3 stopień 20_21'!$G$9:$G$765,D10,'3 stopień 20_21'!$K$9:$K$765,"JCKZ Jelenia Góra")</f>
        <v>0</v>
      </c>
      <c r="K10" s="104">
        <f>SUMIFS('3 stopień 20_21'!$I$9:$I$765,'3 stopień 20_21'!$G$9:$G$765,D10,'3 stopień 20_21'!$K$9:$K$765,"CKZ Kłodzko")</f>
        <v>0</v>
      </c>
      <c r="L10" s="104">
        <f>SUMIFS('3 stopień 20_21'!$I$9:$I$765,'3 stopień 20_21'!$G$9:$G$765,D10,'3 stopień 20_21'!$K$9:$K$765,"CKZ Legnica")</f>
        <v>0</v>
      </c>
      <c r="M10" s="104">
        <f>SUMIFS('3 stopień 20_21'!$I$9:$I$765,'3 stopień 20_21'!$G$9:$G$765,D10,'3 stopień 20_21'!$K$9:$K$765,"CKZ Oleśnica")</f>
        <v>0</v>
      </c>
      <c r="N10" s="104">
        <f>SUMIFS('3 stopień 20_21'!$I$9:$I$765,'3 stopień 20_21'!$G$9:$G$765,D10,'3 stopień 20_21'!$K$9:$K$765,"CKZ Świdnica")</f>
        <v>0</v>
      </c>
      <c r="O10" s="104">
        <f>SUMIFS('3 stopień 20_21'!$I$9:$I$765,'3 stopień 20_21'!$G$9:$G$765,D10,'3 stopień 20_21'!$K$9:$K$765,"CKZ Wołów")</f>
        <v>0</v>
      </c>
      <c r="P10" s="104">
        <f>SUMIFS('3 stopień 20_21'!$I$9:$I$765,'3 stopień 20_21'!$G$9:$G$765,D10,'3 stopień 20_21'!$K$9:$K$765,"CKZ Ziębice")</f>
        <v>0</v>
      </c>
      <c r="Q10" s="104">
        <f>SUMIFS('3 stopień 20_21'!$I$9:$I$765,'3 stopień 20_21'!$G$9:$G$765,D10,'3 stopień 20_21'!$K$9:$K$765,"CKZ Dobrodzień")</f>
        <v>0</v>
      </c>
      <c r="R10" s="104">
        <f>SUMIFS('3 stopień 20_21'!$I$9:$I$765,'3 stopień 20_21'!$G$9:$G$765,D10,'3 stopień 20_21'!$K$9:$K$765,"CKZ Głubczyce")</f>
        <v>0</v>
      </c>
      <c r="S10" s="104">
        <f>SUMIFS('3 stopień 20_21'!$I$9:$I$765,'3 stopień 20_21'!$G$9:$G$765,D10,'3 stopień 20_21'!$K$9:$K$765,"CKZ Kędzierzyn Kożle")</f>
        <v>0</v>
      </c>
      <c r="T10" s="104">
        <f>SUMIFS('3 stopień 20_21'!$I$9:$I$765,'3 stopień 20_21'!$G$9:$G$765,D10,'3 stopień 20_21'!$K$9:$K$765,"CKZ Kluczbork")</f>
        <v>0</v>
      </c>
      <c r="U10" s="104">
        <f>SUMIFS('3 stopień 20_21'!$I$9:$I$765,'3 stopień 20_21'!$G$9:$G$765,D10,'3 stopień 20_21'!$K$9:$K$765,"CKZ Krotoszyn")</f>
        <v>0</v>
      </c>
      <c r="V10" s="104">
        <f>SUMIFS('3 stopień 20_21'!$I$9:$I$765,'3 stopień 20_21'!$G$9:$G$765,D10,'3 stopień 20_21'!$K$9:$K$765,"CKZ Olkusz")</f>
        <v>0</v>
      </c>
      <c r="W10" s="104">
        <f>SUMIFS('3 stopień 20_21'!$I$9:$I$765,'3 stopień 20_21'!$G$9:$G$765,D10,'3 stopień 20_21'!$K$9:$K$765,"CKZ Wschowa")</f>
        <v>0</v>
      </c>
      <c r="X10" s="104">
        <f>SUMIFS('3 stopień 20_21'!$I$9:$I$765,'3 stopień 20_21'!$G$9:$G$765,D10,'3 stopień 20_21'!$K$9:$K$765,"CKZ Zielona Góra")</f>
        <v>0</v>
      </c>
      <c r="Y10" s="104">
        <f>SUMIFS('3 stopień 20_21'!$I$9:$I$765,'3 stopień 20_21'!$G$9:$G$765,D10,'3 stopień 20_21'!$K$9:$K$765,"Rzemieślnicza Wałbrzych")</f>
        <v>0</v>
      </c>
      <c r="Z10" s="104">
        <f>SUMIFS('3 stopień 20_21'!$I$9:$I$765,'3 stopień 20_21'!$G$9:$G$765,D10,'3 stopień 20_21'!$K$9:$K$765,"CKZ Mosina")</f>
        <v>0</v>
      </c>
      <c r="AA10" s="104">
        <f>SUMIFS('3 stopień 20_21'!$I$9:$I$765,'3 stopień 20_21'!$G$9:$G$765,D10,'3 stopień 20_21'!$K$9:$K$765,"CKZ Opole")</f>
        <v>0</v>
      </c>
      <c r="AB10" s="104">
        <f>SUMIFS('3 stopień 20_21'!$I$9:$I$765,'3 stopień 20_21'!$G$9:$G$765,D10,'3 stopień 20_21'!$K$9:$K$765,"")</f>
        <v>0</v>
      </c>
      <c r="AC10" s="105">
        <f t="shared" si="0"/>
        <v>0</v>
      </c>
    </row>
    <row r="11" spans="1:29">
      <c r="B11" s="100" t="s">
        <v>596</v>
      </c>
      <c r="C11" s="101">
        <v>713303</v>
      </c>
      <c r="D11" s="101" t="s">
        <v>871</v>
      </c>
      <c r="E11" s="100" t="s">
        <v>677</v>
      </c>
      <c r="F11" s="103">
        <f>SUMIF('3 stopień 20_21'!G$9:G$750,D11,'3 stopień 20_21'!I$9:I$751)</f>
        <v>0</v>
      </c>
      <c r="G11" s="104">
        <f>SUMIFS('3 stopień 20_21'!$I$9:$I$765,'3 stopień 20_21'!$G$9:$G$765,D11,'3 stopień 20_21'!$K$9:$K$765,"CKZ Bielawa")</f>
        <v>0</v>
      </c>
      <c r="H11" s="104">
        <f>SUMIFS('3 stopień 20_21'!$I$9:$I$765,'3 stopień 20_21'!$G$9:$G$765,D11,'3 stopień 20_21'!$K$9:$K$765,"GCKZ Głogów")</f>
        <v>0</v>
      </c>
      <c r="I11" s="104">
        <f>SUMIFS('3 stopień 20_21'!$I$9:$I$765,'3 stopień 20_21'!$G$9:$G$765,D11,'3 stopień 20_21'!$K$9:$K$765,"CKZ Jawor")</f>
        <v>0</v>
      </c>
      <c r="J11" s="104">
        <f>SUMIFS('3 stopień 20_21'!$I$9:$I$765,'3 stopień 20_21'!$G$9:$G$765,D11,'3 stopień 20_21'!$K$9:$K$765,"JCKZ Jelenia Góra")</f>
        <v>0</v>
      </c>
      <c r="K11" s="104">
        <f>SUMIFS('3 stopień 20_21'!$I$9:$I$765,'3 stopień 20_21'!$G$9:$G$765,D11,'3 stopień 20_21'!$K$9:$K$765,"CKZ Kłodzko")</f>
        <v>0</v>
      </c>
      <c r="L11" s="104">
        <f>SUMIFS('3 stopień 20_21'!$I$9:$I$765,'3 stopień 20_21'!$G$9:$G$765,D11,'3 stopień 20_21'!$K$9:$K$765,"CKZ Legnica")</f>
        <v>0</v>
      </c>
      <c r="M11" s="104">
        <f>SUMIFS('3 stopień 20_21'!$I$9:$I$765,'3 stopień 20_21'!$G$9:$G$765,D11,'3 stopień 20_21'!$K$9:$K$765,"CKZ Oleśnica")</f>
        <v>0</v>
      </c>
      <c r="N11" s="104">
        <f>SUMIFS('3 stopień 20_21'!$I$9:$I$765,'3 stopień 20_21'!$G$9:$G$765,D11,'3 stopień 20_21'!$K$9:$K$765,"CKZ Świdnica")</f>
        <v>0</v>
      </c>
      <c r="O11" s="104">
        <f>SUMIFS('3 stopień 20_21'!$I$9:$I$765,'3 stopień 20_21'!$G$9:$G$765,D11,'3 stopień 20_21'!$K$9:$K$765,"CKZ Wołów")</f>
        <v>0</v>
      </c>
      <c r="P11" s="104">
        <f>SUMIFS('3 stopień 20_21'!$I$9:$I$765,'3 stopień 20_21'!$G$9:$G$765,D11,'3 stopień 20_21'!$K$9:$K$765,"CKZ Ziębice")</f>
        <v>0</v>
      </c>
      <c r="Q11" s="104">
        <f>SUMIFS('3 stopień 20_21'!$I$9:$I$765,'3 stopień 20_21'!$G$9:$G$765,D11,'3 stopień 20_21'!$K$9:$K$765,"CKZ Dobrodzień")</f>
        <v>0</v>
      </c>
      <c r="R11" s="104">
        <f>SUMIFS('3 stopień 20_21'!$I$9:$I$765,'3 stopień 20_21'!$G$9:$G$765,D11,'3 stopień 20_21'!$K$9:$K$765,"CKZ Głubczyce")</f>
        <v>0</v>
      </c>
      <c r="S11" s="104">
        <f>SUMIFS('3 stopień 20_21'!$I$9:$I$765,'3 stopień 20_21'!$G$9:$G$765,D11,'3 stopień 20_21'!$K$9:$K$765,"CKZ Kędzierzyn Kożle")</f>
        <v>0</v>
      </c>
      <c r="T11" s="104">
        <f>SUMIFS('3 stopień 20_21'!$I$9:$I$765,'3 stopień 20_21'!$G$9:$G$765,D11,'3 stopień 20_21'!$K$9:$K$765,"CKZ Kluczbork")</f>
        <v>0</v>
      </c>
      <c r="U11" s="104">
        <f>SUMIFS('3 stopień 20_21'!$I$9:$I$765,'3 stopień 20_21'!$G$9:$G$765,D11,'3 stopień 20_21'!$K$9:$K$765,"CKZ Krotoszyn")</f>
        <v>0</v>
      </c>
      <c r="V11" s="104">
        <f>SUMIFS('3 stopień 20_21'!$I$9:$I$765,'3 stopień 20_21'!$G$9:$G$765,D11,'3 stopień 20_21'!$K$9:$K$765,"CKZ Olkusz")</f>
        <v>0</v>
      </c>
      <c r="W11" s="104">
        <f>SUMIFS('3 stopień 20_21'!$I$9:$I$765,'3 stopień 20_21'!$G$9:$G$765,D11,'3 stopień 20_21'!$K$9:$K$765,"CKZ Wschowa")</f>
        <v>0</v>
      </c>
      <c r="X11" s="104">
        <f>SUMIFS('3 stopień 20_21'!$I$9:$I$765,'3 stopień 20_21'!$G$9:$G$765,D11,'3 stopień 20_21'!$K$9:$K$765,"CKZ Zielona Góra")</f>
        <v>0</v>
      </c>
      <c r="Y11" s="104">
        <f>SUMIFS('3 stopień 20_21'!$I$9:$I$765,'3 stopień 20_21'!$G$9:$G$765,D11,'3 stopień 20_21'!$K$9:$K$765,"Rzemieślnicza Wałbrzych")</f>
        <v>0</v>
      </c>
      <c r="Z11" s="104">
        <f>SUMIFS('3 stopień 20_21'!$I$9:$I$765,'3 stopień 20_21'!$G$9:$G$765,D11,'3 stopień 20_21'!$K$9:$K$765,"CKZ Mosina")</f>
        <v>0</v>
      </c>
      <c r="AA11" s="104">
        <f>SUMIFS('3 stopień 20_21'!$I$9:$I$765,'3 stopień 20_21'!$G$9:$G$765,D11,'3 stopień 20_21'!$K$9:$K$765,"CKZ Opole")</f>
        <v>0</v>
      </c>
      <c r="AB11" s="104">
        <f>SUMIFS('3 stopień 20_21'!$I$9:$I$765,'3 stopień 20_21'!$G$9:$G$765,D11,'3 stopień 20_21'!$K$9:$K$765,"")</f>
        <v>0</v>
      </c>
      <c r="AC11" s="105">
        <f t="shared" si="0"/>
        <v>0</v>
      </c>
    </row>
    <row r="12" spans="1:29">
      <c r="B12" s="100" t="s">
        <v>597</v>
      </c>
      <c r="C12" s="101">
        <v>712401</v>
      </c>
      <c r="D12" s="101" t="s">
        <v>872</v>
      </c>
      <c r="E12" s="100" t="s">
        <v>679</v>
      </c>
      <c r="F12" s="103">
        <f>SUMIF('3 stopień 20_21'!G$9:G$750,D12,'3 stopień 20_21'!I$9:I$751)</f>
        <v>0</v>
      </c>
      <c r="G12" s="104">
        <f>SUMIFS('3 stopień 20_21'!$I$9:$I$765,'3 stopień 20_21'!$G$9:$G$765,D12,'3 stopień 20_21'!$K$9:$K$765,"CKZ Bielawa")</f>
        <v>0</v>
      </c>
      <c r="H12" s="104">
        <f>SUMIFS('3 stopień 20_21'!$I$9:$I$765,'3 stopień 20_21'!$G$9:$G$765,D12,'3 stopień 20_21'!$K$9:$K$765,"GCKZ Głogów")</f>
        <v>0</v>
      </c>
      <c r="I12" s="104">
        <f>SUMIFS('3 stopień 20_21'!$I$9:$I$765,'3 stopień 20_21'!$G$9:$G$765,D12,'3 stopień 20_21'!$K$9:$K$765,"CKZ Jawor")</f>
        <v>0</v>
      </c>
      <c r="J12" s="104">
        <f>SUMIFS('3 stopień 20_21'!$I$9:$I$765,'3 stopień 20_21'!$G$9:$G$765,D12,'3 stopień 20_21'!$K$9:$K$765,"JCKZ Jelenia Góra")</f>
        <v>0</v>
      </c>
      <c r="K12" s="104">
        <f>SUMIFS('3 stopień 20_21'!$I$9:$I$765,'3 stopień 20_21'!$G$9:$G$765,D12,'3 stopień 20_21'!$K$9:$K$765,"CKZ Kłodzko")</f>
        <v>0</v>
      </c>
      <c r="L12" s="104">
        <f>SUMIFS('3 stopień 20_21'!$I$9:$I$765,'3 stopień 20_21'!$G$9:$G$765,D12,'3 stopień 20_21'!$K$9:$K$765,"CKZ Legnica")</f>
        <v>0</v>
      </c>
      <c r="M12" s="104">
        <f>SUMIFS('3 stopień 20_21'!$I$9:$I$765,'3 stopień 20_21'!$G$9:$G$765,D12,'3 stopień 20_21'!$K$9:$K$765,"CKZ Oleśnica")</f>
        <v>0</v>
      </c>
      <c r="N12" s="104">
        <f>SUMIFS('3 stopień 20_21'!$I$9:$I$765,'3 stopień 20_21'!$G$9:$G$765,D12,'3 stopień 20_21'!$K$9:$K$765,"CKZ Świdnica")</f>
        <v>0</v>
      </c>
      <c r="O12" s="104">
        <f>SUMIFS('3 stopień 20_21'!$I$9:$I$765,'3 stopień 20_21'!$G$9:$G$765,D12,'3 stopień 20_21'!$K$9:$K$765,"CKZ Wołów")</f>
        <v>0</v>
      </c>
      <c r="P12" s="104">
        <f>SUMIFS('3 stopień 20_21'!$I$9:$I$765,'3 stopień 20_21'!$G$9:$G$765,D12,'3 stopień 20_21'!$K$9:$K$765,"CKZ Ziębice")</f>
        <v>0</v>
      </c>
      <c r="Q12" s="104">
        <f>SUMIFS('3 stopień 20_21'!$I$9:$I$765,'3 stopień 20_21'!$G$9:$G$765,D12,'3 stopień 20_21'!$K$9:$K$765,"CKZ Dobrodzień")</f>
        <v>0</v>
      </c>
      <c r="R12" s="104">
        <f>SUMIFS('3 stopień 20_21'!$I$9:$I$765,'3 stopień 20_21'!$G$9:$G$765,D12,'3 stopień 20_21'!$K$9:$K$765,"CKZ Głubczyce")</f>
        <v>0</v>
      </c>
      <c r="S12" s="104">
        <f>SUMIFS('3 stopień 20_21'!$I$9:$I$765,'3 stopień 20_21'!$G$9:$G$765,D12,'3 stopień 20_21'!$K$9:$K$765,"CKZ Kędzierzyn Kożle")</f>
        <v>0</v>
      </c>
      <c r="T12" s="104">
        <f>SUMIFS('3 stopień 20_21'!$I$9:$I$765,'3 stopień 20_21'!$G$9:$G$765,D12,'3 stopień 20_21'!$K$9:$K$765,"CKZ Kluczbork")</f>
        <v>0</v>
      </c>
      <c r="U12" s="104">
        <f>SUMIFS('3 stopień 20_21'!$I$9:$I$765,'3 stopień 20_21'!$G$9:$G$765,D12,'3 stopień 20_21'!$K$9:$K$765,"CKZ Krotoszyn")</f>
        <v>0</v>
      </c>
      <c r="V12" s="104">
        <f>SUMIFS('3 stopień 20_21'!$I$9:$I$765,'3 stopień 20_21'!$G$9:$G$765,D12,'3 stopień 20_21'!$K$9:$K$765,"CKZ Olkusz")</f>
        <v>0</v>
      </c>
      <c r="W12" s="104">
        <f>SUMIFS('3 stopień 20_21'!$I$9:$I$765,'3 stopień 20_21'!$G$9:$G$765,D12,'3 stopień 20_21'!$K$9:$K$765,"CKZ Wschowa")</f>
        <v>0</v>
      </c>
      <c r="X12" s="104">
        <f>SUMIFS('3 stopień 20_21'!$I$9:$I$765,'3 stopień 20_21'!$G$9:$G$765,D12,'3 stopień 20_21'!$K$9:$K$765,"CKZ Zielona Góra")</f>
        <v>0</v>
      </c>
      <c r="Y12" s="104">
        <f>SUMIFS('3 stopień 20_21'!$I$9:$I$765,'3 stopień 20_21'!$G$9:$G$765,D12,'3 stopień 20_21'!$K$9:$K$765,"Rzemieślnicza Wałbrzych")</f>
        <v>0</v>
      </c>
      <c r="Z12" s="104">
        <f>SUMIFS('3 stopień 20_21'!$I$9:$I$765,'3 stopień 20_21'!$G$9:$G$765,D12,'3 stopień 20_21'!$K$9:$K$765,"CKZ Mosina")</f>
        <v>0</v>
      </c>
      <c r="AA12" s="104">
        <f>SUMIFS('3 stopień 20_21'!$I$9:$I$765,'3 stopień 20_21'!$G$9:$G$765,D12,'3 stopień 20_21'!$K$9:$K$765,"CKZ Opole")</f>
        <v>0</v>
      </c>
      <c r="AB12" s="104">
        <f>SUMIFS('3 stopień 20_21'!$I$9:$I$765,'3 stopień 20_21'!$G$9:$G$765,D12,'3 stopień 20_21'!$K$9:$K$765,"")</f>
        <v>0</v>
      </c>
      <c r="AC12" s="105">
        <f t="shared" si="0"/>
        <v>0</v>
      </c>
    </row>
    <row r="13" spans="1:29" ht="16.5" customHeight="1">
      <c r="B13" s="100" t="s">
        <v>598</v>
      </c>
      <c r="C13" s="101">
        <v>712403</v>
      </c>
      <c r="D13" s="101" t="s">
        <v>873</v>
      </c>
      <c r="E13" s="100" t="s">
        <v>874</v>
      </c>
      <c r="F13" s="103">
        <f>SUMIF('3 stopień 20_21'!G$9:G$750,D13,'3 stopień 20_21'!I$9:I$751)</f>
        <v>0</v>
      </c>
      <c r="G13" s="104">
        <f>SUMIFS('3 stopień 20_21'!$I$9:$I$765,'3 stopień 20_21'!$G$9:$G$765,D13,'3 stopień 20_21'!$K$9:$K$765,"CKZ Bielawa")</f>
        <v>0</v>
      </c>
      <c r="H13" s="104">
        <f>SUMIFS('3 stopień 20_21'!$I$9:$I$765,'3 stopień 20_21'!$G$9:$G$765,D13,'3 stopień 20_21'!$K$9:$K$765,"GCKZ Głogów")</f>
        <v>0</v>
      </c>
      <c r="I13" s="104">
        <f>SUMIFS('3 stopień 20_21'!$I$9:$I$765,'3 stopień 20_21'!$G$9:$G$765,D13,'3 stopień 20_21'!$K$9:$K$765,"CKZ Jawor")</f>
        <v>0</v>
      </c>
      <c r="J13" s="104">
        <f>SUMIFS('3 stopień 20_21'!$I$9:$I$765,'3 stopień 20_21'!$G$9:$G$765,D13,'3 stopień 20_21'!$K$9:$K$765,"JCKZ Jelenia Góra")</f>
        <v>0</v>
      </c>
      <c r="K13" s="104">
        <f>SUMIFS('3 stopień 20_21'!$I$9:$I$765,'3 stopień 20_21'!$G$9:$G$765,D13,'3 stopień 20_21'!$K$9:$K$765,"CKZ Kłodzko")</f>
        <v>0</v>
      </c>
      <c r="L13" s="104">
        <f>SUMIFS('3 stopień 20_21'!$I$9:$I$765,'3 stopień 20_21'!$G$9:$G$765,D13,'3 stopień 20_21'!$K$9:$K$765,"CKZ Legnica")</f>
        <v>0</v>
      </c>
      <c r="M13" s="104">
        <f>SUMIFS('3 stopień 20_21'!$I$9:$I$765,'3 stopień 20_21'!$G$9:$G$765,D13,'3 stopień 20_21'!$K$9:$K$765,"CKZ Oleśnica")</f>
        <v>0</v>
      </c>
      <c r="N13" s="104">
        <f>SUMIFS('3 stopień 20_21'!$I$9:$I$765,'3 stopień 20_21'!$G$9:$G$765,D13,'3 stopień 20_21'!$K$9:$K$765,"CKZ Świdnica")</f>
        <v>0</v>
      </c>
      <c r="O13" s="104">
        <f>SUMIFS('3 stopień 20_21'!$I$9:$I$765,'3 stopień 20_21'!$G$9:$G$765,D13,'3 stopień 20_21'!$K$9:$K$765,"CKZ Wołów")</f>
        <v>0</v>
      </c>
      <c r="P13" s="104">
        <f>SUMIFS('3 stopień 20_21'!$I$9:$I$765,'3 stopień 20_21'!$G$9:$G$765,D13,'3 stopień 20_21'!$K$9:$K$765,"CKZ Ziębice")</f>
        <v>0</v>
      </c>
      <c r="Q13" s="104">
        <f>SUMIFS('3 stopień 20_21'!$I$9:$I$765,'3 stopień 20_21'!$G$9:$G$765,D13,'3 stopień 20_21'!$K$9:$K$765,"CKZ Dobrodzień")</f>
        <v>0</v>
      </c>
      <c r="R13" s="104">
        <f>SUMIFS('3 stopień 20_21'!$I$9:$I$765,'3 stopień 20_21'!$G$9:$G$765,D13,'3 stopień 20_21'!$K$9:$K$765,"CKZ Głubczyce")</f>
        <v>0</v>
      </c>
      <c r="S13" s="104">
        <f>SUMIFS('3 stopień 20_21'!$I$9:$I$765,'3 stopień 20_21'!$G$9:$G$765,D13,'3 stopień 20_21'!$K$9:$K$765,"CKZ Kędzierzyn Kożle")</f>
        <v>0</v>
      </c>
      <c r="T13" s="104">
        <f>SUMIFS('3 stopień 20_21'!$I$9:$I$765,'3 stopień 20_21'!$G$9:$G$765,D13,'3 stopień 20_21'!$K$9:$K$765,"CKZ Kluczbork")</f>
        <v>0</v>
      </c>
      <c r="U13" s="104">
        <f>SUMIFS('3 stopień 20_21'!$I$9:$I$765,'3 stopień 20_21'!$G$9:$G$765,D13,'3 stopień 20_21'!$K$9:$K$765,"CKZ Krotoszyn")</f>
        <v>0</v>
      </c>
      <c r="V13" s="104">
        <f>SUMIFS('3 stopień 20_21'!$I$9:$I$765,'3 stopień 20_21'!$G$9:$G$765,D13,'3 stopień 20_21'!$K$9:$K$765,"CKZ Olkusz")</f>
        <v>0</v>
      </c>
      <c r="W13" s="104">
        <f>SUMIFS('3 stopień 20_21'!$I$9:$I$765,'3 stopień 20_21'!$G$9:$G$765,D13,'3 stopień 20_21'!$K$9:$K$765,"CKZ Wschowa")</f>
        <v>0</v>
      </c>
      <c r="X13" s="104">
        <f>SUMIFS('3 stopień 20_21'!$I$9:$I$765,'3 stopień 20_21'!$G$9:$G$765,D13,'3 stopień 20_21'!$K$9:$K$765,"CKZ Zielona Góra")</f>
        <v>0</v>
      </c>
      <c r="Y13" s="104">
        <f>SUMIFS('3 stopień 20_21'!$I$9:$I$765,'3 stopień 20_21'!$G$9:$G$765,D13,'3 stopień 20_21'!$K$9:$K$765,"Rzemieślnicza Wałbrzych")</f>
        <v>0</v>
      </c>
      <c r="Z13" s="104">
        <f>SUMIFS('3 stopień 20_21'!$I$9:$I$765,'3 stopień 20_21'!$G$9:$G$765,D13,'3 stopień 20_21'!$K$9:$K$765,"CKZ Mosina")</f>
        <v>0</v>
      </c>
      <c r="AA13" s="104">
        <f>SUMIFS('3 stopień 20_21'!$I$9:$I$765,'3 stopień 20_21'!$G$9:$G$765,D13,'3 stopień 20_21'!$K$9:$K$765,"CKZ Opole")</f>
        <v>0</v>
      </c>
      <c r="AB13" s="104">
        <f>SUMIFS('3 stopień 20_21'!$I$9:$I$765,'3 stopień 20_21'!$G$9:$G$765,D13,'3 stopień 20_21'!$K$9:$K$765,"")</f>
        <v>0</v>
      </c>
      <c r="AC13" s="105">
        <f t="shared" si="0"/>
        <v>0</v>
      </c>
    </row>
    <row r="14" spans="1:29">
      <c r="B14" s="100" t="s">
        <v>599</v>
      </c>
      <c r="C14" s="101">
        <v>711102</v>
      </c>
      <c r="D14" s="101" t="s">
        <v>875</v>
      </c>
      <c r="E14" s="100" t="s">
        <v>683</v>
      </c>
      <c r="F14" s="103">
        <f>SUMIF('3 stopień 20_21'!G$9:G$750,D14,'3 stopień 20_21'!I$9:I$751)</f>
        <v>0</v>
      </c>
      <c r="G14" s="104">
        <f>SUMIFS('3 stopień 20_21'!$I$9:$I$765,'3 stopień 20_21'!$G$9:$G$765,D14,'3 stopień 20_21'!$K$9:$K$765,"CKZ Bielawa")</f>
        <v>0</v>
      </c>
      <c r="H14" s="104">
        <f>SUMIFS('3 stopień 20_21'!$I$9:$I$765,'3 stopień 20_21'!$G$9:$G$765,D14,'3 stopień 20_21'!$K$9:$K$765,"GCKZ Głogów")</f>
        <v>0</v>
      </c>
      <c r="I14" s="104">
        <f>SUMIFS('3 stopień 20_21'!$I$9:$I$765,'3 stopień 20_21'!$G$9:$G$765,D14,'3 stopień 20_21'!$K$9:$K$765,"CKZ Jawor")</f>
        <v>0</v>
      </c>
      <c r="J14" s="104">
        <f>SUMIFS('3 stopień 20_21'!$I$9:$I$765,'3 stopień 20_21'!$G$9:$G$765,D14,'3 stopień 20_21'!$K$9:$K$765,"JCKZ Jelenia Góra")</f>
        <v>0</v>
      </c>
      <c r="K14" s="104">
        <f>SUMIFS('3 stopień 20_21'!$I$9:$I$765,'3 stopień 20_21'!$G$9:$G$765,D14,'3 stopień 20_21'!$K$9:$K$765,"CKZ Kłodzko")</f>
        <v>0</v>
      </c>
      <c r="L14" s="104">
        <f>SUMIFS('3 stopień 20_21'!$I$9:$I$765,'3 stopień 20_21'!$G$9:$G$765,D14,'3 stopień 20_21'!$K$9:$K$765,"CKZ Legnica")</f>
        <v>0</v>
      </c>
      <c r="M14" s="104">
        <f>SUMIFS('3 stopień 20_21'!$I$9:$I$765,'3 stopień 20_21'!$G$9:$G$765,D14,'3 stopień 20_21'!$K$9:$K$765,"CKZ Oleśnica")</f>
        <v>0</v>
      </c>
      <c r="N14" s="104">
        <f>SUMIFS('3 stopień 20_21'!$I$9:$I$765,'3 stopień 20_21'!$G$9:$G$765,D14,'3 stopień 20_21'!$K$9:$K$765,"CKZ Świdnica")</f>
        <v>0</v>
      </c>
      <c r="O14" s="104">
        <f>SUMIFS('3 stopień 20_21'!$I$9:$I$765,'3 stopień 20_21'!$G$9:$G$765,D14,'3 stopień 20_21'!$K$9:$K$765,"CKZ Wołów")</f>
        <v>0</v>
      </c>
      <c r="P14" s="104">
        <f>SUMIFS('3 stopień 20_21'!$I$9:$I$765,'3 stopień 20_21'!$G$9:$G$765,D14,'3 stopień 20_21'!$K$9:$K$765,"CKZ Ziębice")</f>
        <v>0</v>
      </c>
      <c r="Q14" s="104">
        <f>SUMIFS('3 stopień 20_21'!$I$9:$I$765,'3 stopień 20_21'!$G$9:$G$765,D14,'3 stopień 20_21'!$K$9:$K$765,"CKZ Dobrodzień")</f>
        <v>0</v>
      </c>
      <c r="R14" s="104">
        <f>SUMIFS('3 stopień 20_21'!$I$9:$I$765,'3 stopień 20_21'!$G$9:$G$765,D14,'3 stopień 20_21'!$K$9:$K$765,"CKZ Głubczyce")</f>
        <v>0</v>
      </c>
      <c r="S14" s="104">
        <f>SUMIFS('3 stopień 20_21'!$I$9:$I$765,'3 stopień 20_21'!$G$9:$G$765,D14,'3 stopień 20_21'!$K$9:$K$765,"CKZ Kędzierzyn Kożle")</f>
        <v>0</v>
      </c>
      <c r="T14" s="104">
        <f>SUMIFS('3 stopień 20_21'!$I$9:$I$765,'3 stopień 20_21'!$G$9:$G$765,D14,'3 stopień 20_21'!$K$9:$K$765,"CKZ Kluczbork")</f>
        <v>0</v>
      </c>
      <c r="U14" s="104">
        <f>SUMIFS('3 stopień 20_21'!$I$9:$I$765,'3 stopień 20_21'!$G$9:$G$765,D14,'3 stopień 20_21'!$K$9:$K$765,"CKZ Krotoszyn")</f>
        <v>0</v>
      </c>
      <c r="V14" s="104">
        <f>SUMIFS('3 stopień 20_21'!$I$9:$I$765,'3 stopień 20_21'!$G$9:$G$765,D14,'3 stopień 20_21'!$K$9:$K$765,"CKZ Olkusz")</f>
        <v>0</v>
      </c>
      <c r="W14" s="104">
        <f>SUMIFS('3 stopień 20_21'!$I$9:$I$765,'3 stopień 20_21'!$G$9:$G$765,D14,'3 stopień 20_21'!$K$9:$K$765,"CKZ Wschowa")</f>
        <v>0</v>
      </c>
      <c r="X14" s="104">
        <f>SUMIFS('3 stopień 20_21'!$I$9:$I$765,'3 stopień 20_21'!$G$9:$G$765,D14,'3 stopień 20_21'!$K$9:$K$765,"CKZ Zielona Góra")</f>
        <v>0</v>
      </c>
      <c r="Y14" s="104">
        <f>SUMIFS('3 stopień 20_21'!$I$9:$I$765,'3 stopień 20_21'!$G$9:$G$765,D14,'3 stopień 20_21'!$K$9:$K$765,"Rzemieślnicza Wałbrzych")</f>
        <v>0</v>
      </c>
      <c r="Z14" s="104">
        <f>SUMIFS('3 stopień 20_21'!$I$9:$I$765,'3 stopień 20_21'!$G$9:$G$765,D14,'3 stopień 20_21'!$K$9:$K$765,"CKZ Mosina")</f>
        <v>0</v>
      </c>
      <c r="AA14" s="104">
        <f>SUMIFS('3 stopień 20_21'!$I$9:$I$765,'3 stopień 20_21'!$G$9:$G$765,D14,'3 stopień 20_21'!$K$9:$K$765,"CKZ Opole")</f>
        <v>0</v>
      </c>
      <c r="AB14" s="104">
        <f>SUMIFS('3 stopień 20_21'!$I$9:$I$765,'3 stopień 20_21'!$G$9:$G$765,D14,'3 stopień 20_21'!$K$9:$K$765,"")</f>
        <v>0</v>
      </c>
      <c r="AC14" s="105">
        <f t="shared" si="0"/>
        <v>0</v>
      </c>
    </row>
    <row r="15" spans="1:29">
      <c r="B15" s="100" t="s">
        <v>144</v>
      </c>
      <c r="C15" s="101">
        <v>712618</v>
      </c>
      <c r="D15" s="101" t="s">
        <v>199</v>
      </c>
      <c r="E15" s="100" t="s">
        <v>685</v>
      </c>
      <c r="F15" s="103">
        <f>SUMIF('3 stopień 20_21'!G$9:G$750,D15,'3 stopień 20_21'!I$9:I$751)</f>
        <v>20</v>
      </c>
      <c r="G15" s="104">
        <f>SUMIFS('3 stopień 20_21'!$I$9:$I$765,'3 stopień 20_21'!$G$9:$G$765,D15,'3 stopień 20_21'!$K$9:$K$765,"CKZ Bielawa")</f>
        <v>0</v>
      </c>
      <c r="H15" s="104">
        <f>SUMIFS('3 stopień 20_21'!$I$9:$I$765,'3 stopień 20_21'!$G$9:$G$765,D15,'3 stopień 20_21'!$K$9:$K$765,"GCKZ Głogów")</f>
        <v>0</v>
      </c>
      <c r="I15" s="104">
        <f>SUMIFS('3 stopień 20_21'!$I$9:$I$765,'3 stopień 20_21'!$G$9:$G$765,D15,'3 stopień 20_21'!$K$9:$K$765,"CKZ Jawor")</f>
        <v>0</v>
      </c>
      <c r="J15" s="104">
        <f>SUMIFS('3 stopień 20_21'!$I$9:$I$765,'3 stopień 20_21'!$G$9:$G$765,D15,'3 stopień 20_21'!$K$9:$K$765,"JCKZ Jelenia Góra")</f>
        <v>0</v>
      </c>
      <c r="K15" s="104">
        <f>SUMIFS('3 stopień 20_21'!$I$9:$I$765,'3 stopień 20_21'!$G$9:$G$765,D15,'3 stopień 20_21'!$K$9:$K$765,"CKZ Kłodzko")</f>
        <v>0</v>
      </c>
      <c r="L15" s="104">
        <f>SUMIFS('3 stopień 20_21'!$I$9:$I$765,'3 stopień 20_21'!$G$9:$G$765,D15,'3 stopień 20_21'!$K$9:$K$765,"CKZ Legnica")</f>
        <v>0</v>
      </c>
      <c r="M15" s="104">
        <f>SUMIFS('3 stopień 20_21'!$I$9:$I$765,'3 stopień 20_21'!$G$9:$G$765,D15,'3 stopień 20_21'!$K$9:$K$765,"CKZ Oleśnica")</f>
        <v>0</v>
      </c>
      <c r="N15" s="104">
        <f>SUMIFS('3 stopień 20_21'!$I$9:$I$765,'3 stopień 20_21'!$G$9:$G$765,D15,'3 stopień 20_21'!$K$9:$K$765,"CKZ Świdnica")</f>
        <v>16</v>
      </c>
      <c r="O15" s="104">
        <f>SUMIFS('3 stopień 20_21'!$I$9:$I$765,'3 stopień 20_21'!$G$9:$G$765,D15,'3 stopień 20_21'!$K$9:$K$765,"CKZ Wołów")</f>
        <v>0</v>
      </c>
      <c r="P15" s="104">
        <f>SUMIFS('3 stopień 20_21'!$I$9:$I$765,'3 stopień 20_21'!$G$9:$G$765,D15,'3 stopień 20_21'!$K$9:$K$765,"CKZ Ziębice")</f>
        <v>0</v>
      </c>
      <c r="Q15" s="104">
        <f>SUMIFS('3 stopień 20_21'!$I$9:$I$765,'3 stopień 20_21'!$G$9:$G$765,D15,'3 stopień 20_21'!$K$9:$K$765,"CKZ Dobrodzień")</f>
        <v>0</v>
      </c>
      <c r="R15" s="104">
        <f>SUMIFS('3 stopień 20_21'!$I$9:$I$765,'3 stopień 20_21'!$G$9:$G$765,D15,'3 stopień 20_21'!$K$9:$K$765,"CKZ Głubczyce")</f>
        <v>0</v>
      </c>
      <c r="S15" s="104">
        <f>SUMIFS('3 stopień 20_21'!$I$9:$I$765,'3 stopień 20_21'!$G$9:$G$765,D15,'3 stopień 20_21'!$K$9:$K$765,"CKZ Kędzierzyn Kożle")</f>
        <v>0</v>
      </c>
      <c r="T15" s="104">
        <f>SUMIFS('3 stopień 20_21'!$I$9:$I$765,'3 stopień 20_21'!$G$9:$G$765,D15,'3 stopień 20_21'!$K$9:$K$765,"CKZ Kluczbork")</f>
        <v>0</v>
      </c>
      <c r="U15" s="104">
        <f>SUMIFS('3 stopień 20_21'!$I$9:$I$765,'3 stopień 20_21'!$G$9:$G$765,D15,'3 stopień 20_21'!$K$9:$K$765,"CKZ Krotoszyn")</f>
        <v>0</v>
      </c>
      <c r="V15" s="104">
        <f>SUMIFS('3 stopień 20_21'!$I$9:$I$765,'3 stopień 20_21'!$G$9:$G$765,D15,'3 stopień 20_21'!$K$9:$K$765,"CKZ Olkusz")</f>
        <v>0</v>
      </c>
      <c r="W15" s="104">
        <f>SUMIFS('3 stopień 20_21'!$I$9:$I$765,'3 stopień 20_21'!$G$9:$G$765,D15,'3 stopień 20_21'!$K$9:$K$765,"CKZ Wschowa")</f>
        <v>4</v>
      </c>
      <c r="X15" s="104">
        <f>SUMIFS('3 stopień 20_21'!$I$9:$I$765,'3 stopień 20_21'!$G$9:$G$765,D15,'3 stopień 20_21'!$K$9:$K$765,"CKZ Zielona Góra")</f>
        <v>0</v>
      </c>
      <c r="Y15" s="104">
        <f>SUMIFS('3 stopień 20_21'!$I$9:$I$765,'3 stopień 20_21'!$G$9:$G$765,D15,'3 stopień 20_21'!$K$9:$K$765,"Rzemieślnicza Wałbrzych")</f>
        <v>0</v>
      </c>
      <c r="Z15" s="104">
        <f>SUMIFS('3 stopień 20_21'!$I$9:$I$765,'3 stopień 20_21'!$G$9:$G$765,D15,'3 stopień 20_21'!$K$9:$K$765,"CKZ Mosina")</f>
        <v>0</v>
      </c>
      <c r="AA15" s="104">
        <f>SUMIFS('3 stopień 20_21'!$I$9:$I$765,'3 stopień 20_21'!$G$9:$G$765,D15,'3 stopień 20_21'!$K$9:$K$765,"CKZ Opole")</f>
        <v>0</v>
      </c>
      <c r="AB15" s="104">
        <f>SUMIFS('3 stopień 20_21'!$I$9:$I$765,'3 stopień 20_21'!$G$9:$G$765,D15,'3 stopień 20_21'!$K$9:$K$765,"")</f>
        <v>0</v>
      </c>
      <c r="AC15" s="105">
        <f t="shared" si="0"/>
        <v>20</v>
      </c>
    </row>
    <row r="16" spans="1:29">
      <c r="B16" s="100" t="s">
        <v>557</v>
      </c>
      <c r="C16" s="101">
        <v>712906</v>
      </c>
      <c r="D16" s="101" t="s">
        <v>862</v>
      </c>
      <c r="E16" s="100" t="s">
        <v>687</v>
      </c>
      <c r="F16" s="103">
        <f>SUMIF('3 stopień 20_21'!G$9:G$750,D16,'3 stopień 20_21'!I$9:I$751)</f>
        <v>4</v>
      </c>
      <c r="G16" s="104">
        <f>SUMIFS('3 stopień 20_21'!$I$9:$I$765,'3 stopień 20_21'!$G$9:$G$765,D16,'3 stopień 20_21'!$K$9:$K$765,"CKZ Bielawa")</f>
        <v>0</v>
      </c>
      <c r="H16" s="104">
        <f>SUMIFS('3 stopień 20_21'!$I$9:$I$765,'3 stopień 20_21'!$G$9:$G$765,D16,'3 stopień 20_21'!$K$9:$K$765,"GCKZ Głogów")</f>
        <v>0</v>
      </c>
      <c r="I16" s="104">
        <f>SUMIFS('3 stopień 20_21'!$I$9:$I$765,'3 stopień 20_21'!$G$9:$G$765,D16,'3 stopień 20_21'!$K$9:$K$765,"CKZ Jawor")</f>
        <v>0</v>
      </c>
      <c r="J16" s="104">
        <f>SUMIFS('3 stopień 20_21'!$I$9:$I$765,'3 stopień 20_21'!$G$9:$G$765,D16,'3 stopień 20_21'!$K$9:$K$765,"JCKZ Jelenia Góra")</f>
        <v>0</v>
      </c>
      <c r="K16" s="104">
        <f>SUMIFS('3 stopień 20_21'!$I$9:$I$765,'3 stopień 20_21'!$G$9:$G$765,D16,'3 stopień 20_21'!$K$9:$K$765,"CKZ Kłodzko")</f>
        <v>0</v>
      </c>
      <c r="L16" s="104">
        <f>SUMIFS('3 stopień 20_21'!$I$9:$I$765,'3 stopień 20_21'!$G$9:$G$765,D16,'3 stopień 20_21'!$K$9:$K$765,"CKZ Legnica")</f>
        <v>0</v>
      </c>
      <c r="M16" s="104">
        <f>SUMIFS('3 stopień 20_21'!$I$9:$I$765,'3 stopień 20_21'!$G$9:$G$765,D16,'3 stopień 20_21'!$K$9:$K$765,"CKZ Oleśnica")</f>
        <v>0</v>
      </c>
      <c r="N16" s="104">
        <f>SUMIFS('3 stopień 20_21'!$I$9:$I$765,'3 stopień 20_21'!$G$9:$G$765,D16,'3 stopień 20_21'!$K$9:$K$765,"CKZ Świdnica")</f>
        <v>0</v>
      </c>
      <c r="O16" s="104">
        <f>SUMIFS('3 stopień 20_21'!$I$9:$I$765,'3 stopień 20_21'!$G$9:$G$765,D16,'3 stopień 20_21'!$K$9:$K$765,"CKZ Wołów")</f>
        <v>0</v>
      </c>
      <c r="P16" s="104">
        <f>SUMIFS('3 stopień 20_21'!$I$9:$I$765,'3 stopień 20_21'!$G$9:$G$765,D16,'3 stopień 20_21'!$K$9:$K$765,"CKZ Ziębice")</f>
        <v>0</v>
      </c>
      <c r="Q16" s="104">
        <f>SUMIFS('3 stopień 20_21'!$I$9:$I$765,'3 stopień 20_21'!$G$9:$G$765,D16,'3 stopień 20_21'!$K$9:$K$765,"CKZ Dobrodzień")</f>
        <v>0</v>
      </c>
      <c r="R16" s="104">
        <f>SUMIFS('3 stopień 20_21'!$I$9:$I$765,'3 stopień 20_21'!$G$9:$G$765,D16,'3 stopień 20_21'!$K$9:$K$765,"CKZ Głubczyce")</f>
        <v>0</v>
      </c>
      <c r="S16" s="104">
        <f>SUMIFS('3 stopień 20_21'!$I$9:$I$765,'3 stopień 20_21'!$G$9:$G$765,D16,'3 stopień 20_21'!$K$9:$K$765,"CKZ Kędzierzyn Kożle")</f>
        <v>0</v>
      </c>
      <c r="T16" s="104">
        <f>SUMIFS('3 stopień 20_21'!$I$9:$I$765,'3 stopień 20_21'!$G$9:$G$765,D16,'3 stopień 20_21'!$K$9:$K$765,"CKZ Kluczbork")</f>
        <v>0</v>
      </c>
      <c r="U16" s="104">
        <f>SUMIFS('3 stopień 20_21'!$I$9:$I$765,'3 stopień 20_21'!$G$9:$G$765,D16,'3 stopień 20_21'!$K$9:$K$765,"CKZ Krotoszyn")</f>
        <v>0</v>
      </c>
      <c r="V16" s="104">
        <f>SUMIFS('3 stopień 20_21'!$I$9:$I$765,'3 stopień 20_21'!$G$9:$G$765,D16,'3 stopień 20_21'!$K$9:$K$765,"CKZ Olkusz")</f>
        <v>0</v>
      </c>
      <c r="W16" s="104">
        <f>SUMIFS('3 stopień 20_21'!$I$9:$I$765,'3 stopień 20_21'!$G$9:$G$765,D16,'3 stopień 20_21'!$K$9:$K$765,"CKZ Wschowa")</f>
        <v>0</v>
      </c>
      <c r="X16" s="104">
        <f>SUMIFS('3 stopień 20_21'!$I$9:$I$765,'3 stopień 20_21'!$G$9:$G$765,D16,'3 stopień 20_21'!$K$9:$K$765,"CKZ Zielona Góra")</f>
        <v>4</v>
      </c>
      <c r="Y16" s="104">
        <f>SUMIFS('3 stopień 20_21'!$I$9:$I$765,'3 stopień 20_21'!$G$9:$G$765,D16,'3 stopień 20_21'!$K$9:$K$765,"Rzemieślnicza Wałbrzych")</f>
        <v>0</v>
      </c>
      <c r="Z16" s="104">
        <f>SUMIFS('3 stopień 20_21'!$I$9:$I$765,'3 stopień 20_21'!$G$9:$G$765,D16,'3 stopień 20_21'!$K$9:$K$765,"CKZ Mosina")</f>
        <v>0</v>
      </c>
      <c r="AA16" s="104">
        <f>SUMIFS('3 stopień 20_21'!$I$9:$I$765,'3 stopień 20_21'!$G$9:$G$765,D16,'3 stopień 20_21'!$K$9:$K$765,"CKZ Opole")</f>
        <v>0</v>
      </c>
      <c r="AB16" s="104">
        <f>SUMIFS('3 stopień 20_21'!$I$9:$I$765,'3 stopień 20_21'!$G$9:$G$765,D16,'3 stopień 20_21'!$K$9:$K$765,"")</f>
        <v>0</v>
      </c>
      <c r="AC16" s="105">
        <f t="shared" si="0"/>
        <v>4</v>
      </c>
    </row>
    <row r="17" spans="2:29">
      <c r="B17" s="100" t="s">
        <v>220</v>
      </c>
      <c r="C17" s="101">
        <v>712905</v>
      </c>
      <c r="D17" s="101" t="s">
        <v>202</v>
      </c>
      <c r="E17" s="100" t="s">
        <v>689</v>
      </c>
      <c r="F17" s="103">
        <f>SUMIF('3 stopień 20_21'!G$9:G$750,D17,'3 stopień 20_21'!I$9:I$751)</f>
        <v>17</v>
      </c>
      <c r="G17" s="104">
        <f>SUMIFS('3 stopień 20_21'!$I$9:$I$765,'3 stopień 20_21'!$G$9:$G$765,D17,'3 stopień 20_21'!$K$9:$K$765,"CKZ Bielawa")</f>
        <v>0</v>
      </c>
      <c r="H17" s="104">
        <f>SUMIFS('3 stopień 20_21'!$I$9:$I$765,'3 stopień 20_21'!$G$9:$G$765,D17,'3 stopień 20_21'!$K$9:$K$765,"GCKZ Głogów")</f>
        <v>0</v>
      </c>
      <c r="I17" s="104">
        <f>SUMIFS('3 stopień 20_21'!$I$9:$I$765,'3 stopień 20_21'!$G$9:$G$765,D17,'3 stopień 20_21'!$K$9:$K$765,"CKZ Jawor")</f>
        <v>0</v>
      </c>
      <c r="J17" s="104">
        <f>SUMIFS('3 stopień 20_21'!$I$9:$I$765,'3 stopień 20_21'!$G$9:$G$765,D17,'3 stopień 20_21'!$K$9:$K$765,"JCKZ Jelenia Góra")</f>
        <v>0</v>
      </c>
      <c r="K17" s="104">
        <f>SUMIFS('3 stopień 20_21'!$I$9:$I$765,'3 stopień 20_21'!$G$9:$G$765,D17,'3 stopień 20_21'!$K$9:$K$765,"CKZ Kłodzko")</f>
        <v>0</v>
      </c>
      <c r="L17" s="104">
        <f>SUMIFS('3 stopień 20_21'!$I$9:$I$765,'3 stopień 20_21'!$G$9:$G$765,D17,'3 stopień 20_21'!$K$9:$K$765,"CKZ Legnica")</f>
        <v>0</v>
      </c>
      <c r="M17" s="104">
        <f>SUMIFS('3 stopień 20_21'!$I$9:$I$765,'3 stopień 20_21'!$G$9:$G$765,D17,'3 stopień 20_21'!$K$9:$K$765,"CKZ Oleśnica")</f>
        <v>0</v>
      </c>
      <c r="N17" s="104">
        <f>SUMIFS('3 stopień 20_21'!$I$9:$I$765,'3 stopień 20_21'!$G$9:$G$765,D17,'3 stopień 20_21'!$K$9:$K$765,"CKZ Świdnica")</f>
        <v>0</v>
      </c>
      <c r="O17" s="104">
        <f>SUMIFS('3 stopień 20_21'!$I$9:$I$765,'3 stopień 20_21'!$G$9:$G$765,D17,'3 stopień 20_21'!$K$9:$K$765,"CKZ Wołów")</f>
        <v>0</v>
      </c>
      <c r="P17" s="104">
        <f>SUMIFS('3 stopień 20_21'!$I$9:$I$765,'3 stopień 20_21'!$G$9:$G$765,D17,'3 stopień 20_21'!$K$9:$K$765,"CKZ Ziębice")</f>
        <v>0</v>
      </c>
      <c r="Q17" s="104">
        <f>SUMIFS('3 stopień 20_21'!$I$9:$I$765,'3 stopień 20_21'!$G$9:$G$765,D17,'3 stopień 20_21'!$K$9:$K$765,"CKZ Dobrodzień")</f>
        <v>0</v>
      </c>
      <c r="R17" s="104">
        <f>SUMIFS('3 stopień 20_21'!$I$9:$I$765,'3 stopień 20_21'!$G$9:$G$765,D17,'3 stopień 20_21'!$K$9:$K$765,"CKZ Głubczyce")</f>
        <v>0</v>
      </c>
      <c r="S17" s="104">
        <f>SUMIFS('3 stopień 20_21'!$I$9:$I$765,'3 stopień 20_21'!$G$9:$G$765,D17,'3 stopień 20_21'!$K$9:$K$765,"CKZ Kędzierzyn Kożle")</f>
        <v>0</v>
      </c>
      <c r="T17" s="104">
        <f>SUMIFS('3 stopień 20_21'!$I$9:$I$765,'3 stopień 20_21'!$G$9:$G$765,D17,'3 stopień 20_21'!$K$9:$K$765,"CKZ Kluczbork")</f>
        <v>0</v>
      </c>
      <c r="U17" s="104">
        <f>SUMIFS('3 stopień 20_21'!$I$9:$I$765,'3 stopień 20_21'!$G$9:$G$765,D17,'3 stopień 20_21'!$K$9:$K$765,"CKZ Krotoszyn")</f>
        <v>0</v>
      </c>
      <c r="V17" s="104">
        <f>SUMIFS('3 stopień 20_21'!$I$9:$I$765,'3 stopień 20_21'!$G$9:$G$765,D17,'3 stopień 20_21'!$K$9:$K$765,"CKZ Olkusz")</f>
        <v>0</v>
      </c>
      <c r="W17" s="104">
        <f>SUMIFS('3 stopień 20_21'!$I$9:$I$765,'3 stopień 20_21'!$G$9:$G$765,D17,'3 stopień 20_21'!$K$9:$K$765,"CKZ Wschowa")</f>
        <v>7</v>
      </c>
      <c r="X17" s="104">
        <f>SUMIFS('3 stopień 20_21'!$I$9:$I$765,'3 stopień 20_21'!$G$9:$G$765,D17,'3 stopień 20_21'!$K$9:$K$765,"CKZ Zielona Góra")</f>
        <v>10</v>
      </c>
      <c r="Y17" s="104">
        <f>SUMIFS('3 stopień 20_21'!$I$9:$I$765,'3 stopień 20_21'!$G$9:$G$765,D17,'3 stopień 20_21'!$K$9:$K$765,"Rzemieślnicza Wałbrzych")</f>
        <v>0</v>
      </c>
      <c r="Z17" s="104">
        <f>SUMIFS('3 stopień 20_21'!$I$9:$I$765,'3 stopień 20_21'!$G$9:$G$765,D17,'3 stopień 20_21'!$K$9:$K$765,"CKZ Mosina")</f>
        <v>0</v>
      </c>
      <c r="AA17" s="104">
        <f>SUMIFS('3 stopień 20_21'!$I$9:$I$765,'3 stopień 20_21'!$G$9:$G$765,D17,'3 stopień 20_21'!$K$9:$K$765,"CKZ Opole")</f>
        <v>0</v>
      </c>
      <c r="AB17" s="104">
        <f>SUMIFS('3 stopień 20_21'!$I$9:$I$765,'3 stopień 20_21'!$G$9:$G$765,D17,'3 stopień 20_21'!$K$9:$K$765,"")</f>
        <v>0</v>
      </c>
      <c r="AC17" s="105">
        <f t="shared" si="0"/>
        <v>17</v>
      </c>
    </row>
    <row r="18" spans="2:29">
      <c r="B18" s="100" t="s">
        <v>243</v>
      </c>
      <c r="C18" s="101">
        <v>711204</v>
      </c>
      <c r="D18" s="101" t="s">
        <v>196</v>
      </c>
      <c r="E18" s="100" t="s">
        <v>690</v>
      </c>
      <c r="F18" s="103">
        <f>SUMIF('3 stopień 20_21'!G$9:G$750,D18,'3 stopień 20_21'!I$9:I$751)</f>
        <v>19</v>
      </c>
      <c r="G18" s="104">
        <f>SUMIFS('3 stopień 20_21'!$I$9:$I$765,'3 stopień 20_21'!$G$9:$G$765,D18,'3 stopień 20_21'!$K$9:$K$765,"CKZ Bielawa")</f>
        <v>0</v>
      </c>
      <c r="H18" s="104">
        <f>SUMIFS('3 stopień 20_21'!$I$9:$I$765,'3 stopień 20_21'!$G$9:$G$765,D18,'3 stopień 20_21'!$K$9:$K$765,"GCKZ Głogów")</f>
        <v>0</v>
      </c>
      <c r="I18" s="104">
        <f>SUMIFS('3 stopień 20_21'!$I$9:$I$765,'3 stopień 20_21'!$G$9:$G$765,D18,'3 stopień 20_21'!$K$9:$K$765,"CKZ Jawor")</f>
        <v>0</v>
      </c>
      <c r="J18" s="104">
        <f>SUMIFS('3 stopień 20_21'!$I$9:$I$765,'3 stopień 20_21'!$G$9:$G$765,D18,'3 stopień 20_21'!$K$9:$K$765,"JCKZ Jelenia Góra")</f>
        <v>0</v>
      </c>
      <c r="K18" s="104">
        <f>SUMIFS('3 stopień 20_21'!$I$9:$I$765,'3 stopień 20_21'!$G$9:$G$765,D18,'3 stopień 20_21'!$K$9:$K$765,"CKZ Kłodzko")</f>
        <v>0</v>
      </c>
      <c r="L18" s="104">
        <f>SUMIFS('3 stopień 20_21'!$I$9:$I$765,'3 stopień 20_21'!$G$9:$G$765,D18,'3 stopień 20_21'!$K$9:$K$765,"CKZ Legnica")</f>
        <v>0</v>
      </c>
      <c r="M18" s="104">
        <f>SUMIFS('3 stopień 20_21'!$I$9:$I$765,'3 stopień 20_21'!$G$9:$G$765,D18,'3 stopień 20_21'!$K$9:$K$765,"CKZ Oleśnica")</f>
        <v>0</v>
      </c>
      <c r="N18" s="104">
        <f>SUMIFS('3 stopień 20_21'!$I$9:$I$765,'3 stopień 20_21'!$G$9:$G$765,D18,'3 stopień 20_21'!$K$9:$K$765,"CKZ Świdnica")</f>
        <v>19</v>
      </c>
      <c r="O18" s="104">
        <f>SUMIFS('3 stopień 20_21'!$I$9:$I$765,'3 stopień 20_21'!$G$9:$G$765,D18,'3 stopień 20_21'!$K$9:$K$765,"CKZ Wołów")</f>
        <v>0</v>
      </c>
      <c r="P18" s="104">
        <f>SUMIFS('3 stopień 20_21'!$I$9:$I$765,'3 stopień 20_21'!$G$9:$G$765,D18,'3 stopień 20_21'!$K$9:$K$765,"CKZ Ziębice")</f>
        <v>0</v>
      </c>
      <c r="Q18" s="104">
        <f>SUMIFS('3 stopień 20_21'!$I$9:$I$765,'3 stopień 20_21'!$G$9:$G$765,D18,'3 stopień 20_21'!$K$9:$K$765,"CKZ Dobrodzień")</f>
        <v>0</v>
      </c>
      <c r="R18" s="104">
        <f>SUMIFS('3 stopień 20_21'!$I$9:$I$765,'3 stopień 20_21'!$G$9:$G$765,D18,'3 stopień 20_21'!$K$9:$K$765,"CKZ Głubczyce")</f>
        <v>0</v>
      </c>
      <c r="S18" s="104">
        <f>SUMIFS('3 stopień 20_21'!$I$9:$I$765,'3 stopień 20_21'!$G$9:$G$765,D18,'3 stopień 20_21'!$K$9:$K$765,"CKZ Kędzierzyn Kożle")</f>
        <v>0</v>
      </c>
      <c r="T18" s="104">
        <f>SUMIFS('3 stopień 20_21'!$I$9:$I$765,'3 stopień 20_21'!$G$9:$G$765,D18,'3 stopień 20_21'!$K$9:$K$765,"CKZ Kluczbork")</f>
        <v>0</v>
      </c>
      <c r="U18" s="104">
        <f>SUMIFS('3 stopień 20_21'!$I$9:$I$765,'3 stopień 20_21'!$G$9:$G$765,D18,'3 stopień 20_21'!$K$9:$K$765,"CKZ Krotoszyn")</f>
        <v>0</v>
      </c>
      <c r="V18" s="104">
        <f>SUMIFS('3 stopień 20_21'!$I$9:$I$765,'3 stopień 20_21'!$G$9:$G$765,D18,'3 stopień 20_21'!$K$9:$K$765,"CKZ Olkusz")</f>
        <v>0</v>
      </c>
      <c r="W18" s="104">
        <f>SUMIFS('3 stopień 20_21'!$I$9:$I$765,'3 stopień 20_21'!$G$9:$G$765,D18,'3 stopień 20_21'!$K$9:$K$765,"CKZ Wschowa")</f>
        <v>0</v>
      </c>
      <c r="X18" s="104">
        <f>SUMIFS('3 stopień 20_21'!$I$9:$I$765,'3 stopień 20_21'!$G$9:$G$765,D18,'3 stopień 20_21'!$K$9:$K$765,"CKZ Zielona Góra")</f>
        <v>0</v>
      </c>
      <c r="Y18" s="104">
        <f>SUMIFS('3 stopień 20_21'!$I$9:$I$765,'3 stopień 20_21'!$G$9:$G$765,D18,'3 stopień 20_21'!$K$9:$K$765,"Rzemieślnicza Wałbrzych")</f>
        <v>0</v>
      </c>
      <c r="Z18" s="104">
        <f>SUMIFS('3 stopień 20_21'!$I$9:$I$765,'3 stopień 20_21'!$G$9:$G$765,D18,'3 stopień 20_21'!$K$9:$K$765,"CKZ Mosina")</f>
        <v>0</v>
      </c>
      <c r="AA18" s="104">
        <f>SUMIFS('3 stopień 20_21'!$I$9:$I$765,'3 stopień 20_21'!$G$9:$G$765,D18,'3 stopień 20_21'!$K$9:$K$765,"CKZ Opole")</f>
        <v>0</v>
      </c>
      <c r="AB18" s="104">
        <f>SUMIFS('3 stopień 20_21'!$I$9:$I$765,'3 stopień 20_21'!$G$9:$G$765,D18,'3 stopień 20_21'!$K$9:$K$765,"")</f>
        <v>0</v>
      </c>
      <c r="AC18" s="105">
        <f t="shared" si="0"/>
        <v>19</v>
      </c>
    </row>
    <row r="19" spans="2:29">
      <c r="B19" s="100" t="s">
        <v>600</v>
      </c>
      <c r="C19" s="101">
        <v>834209</v>
      </c>
      <c r="D19" s="101" t="s">
        <v>876</v>
      </c>
      <c r="E19" s="100" t="s">
        <v>691</v>
      </c>
      <c r="F19" s="103">
        <f>SUMIF('3 stopień 20_21'!G$9:G$750,D19,'3 stopień 20_21'!I$9:I$751)</f>
        <v>0</v>
      </c>
      <c r="G19" s="104">
        <f>SUMIFS('3 stopień 20_21'!$I$9:$I$765,'3 stopień 20_21'!$G$9:$G$765,D19,'3 stopień 20_21'!$K$9:$K$765,"CKZ Bielawa")</f>
        <v>0</v>
      </c>
      <c r="H19" s="104">
        <f>SUMIFS('3 stopień 20_21'!$I$9:$I$765,'3 stopień 20_21'!$G$9:$G$765,D19,'3 stopień 20_21'!$K$9:$K$765,"GCKZ Głogów")</f>
        <v>0</v>
      </c>
      <c r="I19" s="104">
        <f>SUMIFS('3 stopień 20_21'!$I$9:$I$765,'3 stopień 20_21'!$G$9:$G$765,D19,'3 stopień 20_21'!$K$9:$K$765,"CKZ Jawor")</f>
        <v>0</v>
      </c>
      <c r="J19" s="104">
        <f>SUMIFS('3 stopień 20_21'!$I$9:$I$765,'3 stopień 20_21'!$G$9:$G$765,D19,'3 stopień 20_21'!$K$9:$K$765,"JCKZ Jelenia Góra")</f>
        <v>0</v>
      </c>
      <c r="K19" s="104">
        <f>SUMIFS('3 stopień 20_21'!$I$9:$I$765,'3 stopień 20_21'!$G$9:$G$765,D19,'3 stopień 20_21'!$K$9:$K$765,"CKZ Kłodzko")</f>
        <v>0</v>
      </c>
      <c r="L19" s="104">
        <f>SUMIFS('3 stopień 20_21'!$I$9:$I$765,'3 stopień 20_21'!$G$9:$G$765,D19,'3 stopień 20_21'!$K$9:$K$765,"CKZ Legnica")</f>
        <v>0</v>
      </c>
      <c r="M19" s="104">
        <f>SUMIFS('3 stopień 20_21'!$I$9:$I$765,'3 stopień 20_21'!$G$9:$G$765,D19,'3 stopień 20_21'!$K$9:$K$765,"CKZ Oleśnica")</f>
        <v>0</v>
      </c>
      <c r="N19" s="104">
        <f>SUMIFS('3 stopień 20_21'!$I$9:$I$765,'3 stopień 20_21'!$G$9:$G$765,D19,'3 stopień 20_21'!$K$9:$K$765,"CKZ Świdnica")</f>
        <v>0</v>
      </c>
      <c r="O19" s="104">
        <f>SUMIFS('3 stopień 20_21'!$I$9:$I$765,'3 stopień 20_21'!$G$9:$G$765,D19,'3 stopień 20_21'!$K$9:$K$765,"CKZ Wołów")</f>
        <v>0</v>
      </c>
      <c r="P19" s="104">
        <f>SUMIFS('3 stopień 20_21'!$I$9:$I$765,'3 stopień 20_21'!$G$9:$G$765,D19,'3 stopień 20_21'!$K$9:$K$765,"CKZ Ziębice")</f>
        <v>0</v>
      </c>
      <c r="Q19" s="104">
        <f>SUMIFS('3 stopień 20_21'!$I$9:$I$765,'3 stopień 20_21'!$G$9:$G$765,D19,'3 stopień 20_21'!$K$9:$K$765,"CKZ Dobrodzień")</f>
        <v>0</v>
      </c>
      <c r="R19" s="104">
        <f>SUMIFS('3 stopień 20_21'!$I$9:$I$765,'3 stopień 20_21'!$G$9:$G$765,D19,'3 stopień 20_21'!$K$9:$K$765,"CKZ Głubczyce")</f>
        <v>0</v>
      </c>
      <c r="S19" s="104">
        <f>SUMIFS('3 stopień 20_21'!$I$9:$I$765,'3 stopień 20_21'!$G$9:$G$765,D19,'3 stopień 20_21'!$K$9:$K$765,"CKZ Kędzierzyn Kożle")</f>
        <v>0</v>
      </c>
      <c r="T19" s="104">
        <f>SUMIFS('3 stopień 20_21'!$I$9:$I$765,'3 stopień 20_21'!$G$9:$G$765,D19,'3 stopień 20_21'!$K$9:$K$765,"CKZ Kluczbork")</f>
        <v>0</v>
      </c>
      <c r="U19" s="104">
        <f>SUMIFS('3 stopień 20_21'!$I$9:$I$765,'3 stopień 20_21'!$G$9:$G$765,D19,'3 stopień 20_21'!$K$9:$K$765,"CKZ Krotoszyn")</f>
        <v>0</v>
      </c>
      <c r="V19" s="104">
        <f>SUMIFS('3 stopień 20_21'!$I$9:$I$765,'3 stopień 20_21'!$G$9:$G$765,D19,'3 stopień 20_21'!$K$9:$K$765,"CKZ Olkusz")</f>
        <v>0</v>
      </c>
      <c r="W19" s="104">
        <f>SUMIFS('3 stopień 20_21'!$I$9:$I$765,'3 stopień 20_21'!$G$9:$G$765,D19,'3 stopień 20_21'!$K$9:$K$765,"CKZ Wschowa")</f>
        <v>0</v>
      </c>
      <c r="X19" s="104">
        <f>SUMIFS('3 stopień 20_21'!$I$9:$I$765,'3 stopień 20_21'!$G$9:$G$765,D19,'3 stopień 20_21'!$K$9:$K$765,"CKZ Zielona Góra")</f>
        <v>0</v>
      </c>
      <c r="Y19" s="104">
        <f>SUMIFS('3 stopień 20_21'!$I$9:$I$765,'3 stopień 20_21'!$G$9:$G$765,D19,'3 stopień 20_21'!$K$9:$K$765,"Rzemieślnicza Wałbrzych")</f>
        <v>0</v>
      </c>
      <c r="Z19" s="104">
        <f>SUMIFS('3 stopień 20_21'!$I$9:$I$765,'3 stopień 20_21'!$G$9:$G$765,D19,'3 stopień 20_21'!$K$9:$K$765,"CKZ Mosina")</f>
        <v>0</v>
      </c>
      <c r="AA19" s="104">
        <f>SUMIFS('3 stopień 20_21'!$I$9:$I$765,'3 stopień 20_21'!$G$9:$G$765,D19,'3 stopień 20_21'!$K$9:$K$765,"CKZ Opole")</f>
        <v>0</v>
      </c>
      <c r="AB19" s="104">
        <f>SUMIFS('3 stopień 20_21'!$I$9:$I$765,'3 stopień 20_21'!$G$9:$G$765,D19,'3 stopień 20_21'!$K$9:$K$765,"")</f>
        <v>0</v>
      </c>
      <c r="AC19" s="105">
        <f t="shared" si="0"/>
        <v>0</v>
      </c>
    </row>
    <row r="20" spans="2:29">
      <c r="B20" s="100" t="s">
        <v>601</v>
      </c>
      <c r="C20" s="101">
        <v>711203</v>
      </c>
      <c r="D20" s="101" t="s">
        <v>877</v>
      </c>
      <c r="E20" s="100" t="s">
        <v>693</v>
      </c>
      <c r="F20" s="103">
        <f>SUMIF('3 stopień 20_21'!G$9:G$750,D20,'3 stopień 20_21'!I$9:I$751)</f>
        <v>0</v>
      </c>
      <c r="G20" s="104">
        <f>SUMIFS('3 stopień 20_21'!$I$9:$I$765,'3 stopień 20_21'!$G$9:$G$765,D20,'3 stopień 20_21'!$K$9:$K$765,"CKZ Bielawa")</f>
        <v>0</v>
      </c>
      <c r="H20" s="104">
        <f>SUMIFS('3 stopień 20_21'!$I$9:$I$765,'3 stopień 20_21'!$G$9:$G$765,D20,'3 stopień 20_21'!$K$9:$K$765,"GCKZ Głogów")</f>
        <v>0</v>
      </c>
      <c r="I20" s="104">
        <f>SUMIFS('3 stopień 20_21'!$I$9:$I$765,'3 stopień 20_21'!$G$9:$G$765,D20,'3 stopień 20_21'!$K$9:$K$765,"CKZ Jawor")</f>
        <v>0</v>
      </c>
      <c r="J20" s="104">
        <f>SUMIFS('3 stopień 20_21'!$I$9:$I$765,'3 stopień 20_21'!$G$9:$G$765,D20,'3 stopień 20_21'!$K$9:$K$765,"JCKZ Jelenia Góra")</f>
        <v>0</v>
      </c>
      <c r="K20" s="104">
        <f>SUMIFS('3 stopień 20_21'!$I$9:$I$765,'3 stopień 20_21'!$G$9:$G$765,D20,'3 stopień 20_21'!$K$9:$K$765,"CKZ Kłodzko")</f>
        <v>0</v>
      </c>
      <c r="L20" s="104">
        <f>SUMIFS('3 stopień 20_21'!$I$9:$I$765,'3 stopień 20_21'!$G$9:$G$765,D20,'3 stopień 20_21'!$K$9:$K$765,"CKZ Legnica")</f>
        <v>0</v>
      </c>
      <c r="M20" s="104">
        <f>SUMIFS('3 stopień 20_21'!$I$9:$I$765,'3 stopień 20_21'!$G$9:$G$765,D20,'3 stopień 20_21'!$K$9:$K$765,"CKZ Oleśnica")</f>
        <v>0</v>
      </c>
      <c r="N20" s="104">
        <f>SUMIFS('3 stopień 20_21'!$I$9:$I$765,'3 stopień 20_21'!$G$9:$G$765,D20,'3 stopień 20_21'!$K$9:$K$765,"CKZ Świdnica")</f>
        <v>0</v>
      </c>
      <c r="O20" s="104">
        <f>SUMIFS('3 stopień 20_21'!$I$9:$I$765,'3 stopień 20_21'!$G$9:$G$765,D20,'3 stopień 20_21'!$K$9:$K$765,"CKZ Wołów")</f>
        <v>0</v>
      </c>
      <c r="P20" s="104">
        <f>SUMIFS('3 stopień 20_21'!$I$9:$I$765,'3 stopień 20_21'!$G$9:$G$765,D20,'3 stopień 20_21'!$K$9:$K$765,"CKZ Ziębice")</f>
        <v>0</v>
      </c>
      <c r="Q20" s="104">
        <f>SUMIFS('3 stopień 20_21'!$I$9:$I$765,'3 stopień 20_21'!$G$9:$G$765,D20,'3 stopień 20_21'!$K$9:$K$765,"CKZ Dobrodzień")</f>
        <v>0</v>
      </c>
      <c r="R20" s="104">
        <f>SUMIFS('3 stopień 20_21'!$I$9:$I$765,'3 stopień 20_21'!$G$9:$G$765,D20,'3 stopień 20_21'!$K$9:$K$765,"CKZ Głubczyce")</f>
        <v>0</v>
      </c>
      <c r="S20" s="104">
        <f>SUMIFS('3 stopień 20_21'!$I$9:$I$765,'3 stopień 20_21'!$G$9:$G$765,D20,'3 stopień 20_21'!$K$9:$K$765,"CKZ Kędzierzyn Kożle")</f>
        <v>0</v>
      </c>
      <c r="T20" s="104">
        <f>SUMIFS('3 stopień 20_21'!$I$9:$I$765,'3 stopień 20_21'!$G$9:$G$765,D20,'3 stopień 20_21'!$K$9:$K$765,"CKZ Kluczbork")</f>
        <v>0</v>
      </c>
      <c r="U20" s="104">
        <f>SUMIFS('3 stopień 20_21'!$I$9:$I$765,'3 stopień 20_21'!$G$9:$G$765,D20,'3 stopień 20_21'!$K$9:$K$765,"CKZ Krotoszyn")</f>
        <v>0</v>
      </c>
      <c r="V20" s="104">
        <f>SUMIFS('3 stopień 20_21'!$I$9:$I$765,'3 stopień 20_21'!$G$9:$G$765,D20,'3 stopień 20_21'!$K$9:$K$765,"CKZ Olkusz")</f>
        <v>0</v>
      </c>
      <c r="W20" s="104">
        <f>SUMIFS('3 stopień 20_21'!$I$9:$I$765,'3 stopień 20_21'!$G$9:$G$765,D20,'3 stopień 20_21'!$K$9:$K$765,"CKZ Wschowa")</f>
        <v>0</v>
      </c>
      <c r="X20" s="104">
        <f>SUMIFS('3 stopień 20_21'!$I$9:$I$765,'3 stopień 20_21'!$G$9:$G$765,D20,'3 stopień 20_21'!$K$9:$K$765,"CKZ Zielona Góra")</f>
        <v>0</v>
      </c>
      <c r="Y20" s="104">
        <f>SUMIFS('3 stopień 20_21'!$I$9:$I$765,'3 stopień 20_21'!$G$9:$G$765,D20,'3 stopień 20_21'!$K$9:$K$765,"Rzemieślnicza Wałbrzych")</f>
        <v>0</v>
      </c>
      <c r="Z20" s="104">
        <f>SUMIFS('3 stopień 20_21'!$I$9:$I$765,'3 stopień 20_21'!$G$9:$G$765,D20,'3 stopień 20_21'!$K$9:$K$765,"CKZ Mosina")</f>
        <v>0</v>
      </c>
      <c r="AA20" s="104">
        <f>SUMIFS('3 stopień 20_21'!$I$9:$I$765,'3 stopień 20_21'!$G$9:$G$765,D20,'3 stopień 20_21'!$K$9:$K$765,"CKZ Opole")</f>
        <v>0</v>
      </c>
      <c r="AB20" s="104">
        <f>SUMIFS('3 stopień 20_21'!$I$9:$I$765,'3 stopień 20_21'!$G$9:$G$765,D20,'3 stopień 20_21'!$K$9:$K$765,"")</f>
        <v>0</v>
      </c>
      <c r="AC20" s="105">
        <f t="shared" si="0"/>
        <v>0</v>
      </c>
    </row>
    <row r="21" spans="2:29">
      <c r="B21" s="100" t="s">
        <v>602</v>
      </c>
      <c r="C21" s="101">
        <v>818115</v>
      </c>
      <c r="D21" s="102" t="s">
        <v>878</v>
      </c>
      <c r="E21" s="100" t="s">
        <v>879</v>
      </c>
      <c r="F21" s="103">
        <f>SUMIF('3 stopień 20_21'!G$9:G$750,D21,'3 stopień 20_21'!I$9:I$751)</f>
        <v>0</v>
      </c>
      <c r="G21" s="104">
        <f>SUMIFS('3 stopień 20_21'!$I$9:$I$765,'3 stopień 20_21'!$G$9:$G$765,D21,'3 stopień 20_21'!$K$9:$K$765,"CKZ Bielawa")</f>
        <v>0</v>
      </c>
      <c r="H21" s="104">
        <f>SUMIFS('3 stopień 20_21'!$I$9:$I$765,'3 stopień 20_21'!$G$9:$G$765,D21,'3 stopień 20_21'!$K$9:$K$765,"GCKZ Głogów")</f>
        <v>0</v>
      </c>
      <c r="I21" s="104">
        <f>SUMIFS('3 stopień 20_21'!$I$9:$I$765,'3 stopień 20_21'!$G$9:$G$765,D21,'3 stopień 20_21'!$K$9:$K$765,"CKZ Jawor")</f>
        <v>0</v>
      </c>
      <c r="J21" s="104">
        <f>SUMIFS('3 stopień 20_21'!$I$9:$I$765,'3 stopień 20_21'!$G$9:$G$765,D21,'3 stopień 20_21'!$K$9:$K$765,"JCKZ Jelenia Góra")</f>
        <v>0</v>
      </c>
      <c r="K21" s="104">
        <f>SUMIFS('3 stopień 20_21'!$I$9:$I$765,'3 stopień 20_21'!$G$9:$G$765,D21,'3 stopień 20_21'!$K$9:$K$765,"CKZ Kłodzko")</f>
        <v>0</v>
      </c>
      <c r="L21" s="104">
        <f>SUMIFS('3 stopień 20_21'!$I$9:$I$765,'3 stopień 20_21'!$G$9:$G$765,D21,'3 stopień 20_21'!$K$9:$K$765,"CKZ Legnica")</f>
        <v>0</v>
      </c>
      <c r="M21" s="104">
        <f>SUMIFS('3 stopień 20_21'!$I$9:$I$765,'3 stopień 20_21'!$G$9:$G$765,D21,'3 stopień 20_21'!$K$9:$K$765,"CKZ Oleśnica")</f>
        <v>0</v>
      </c>
      <c r="N21" s="104">
        <f>SUMIFS('3 stopień 20_21'!$I$9:$I$765,'3 stopień 20_21'!$G$9:$G$765,D21,'3 stopień 20_21'!$K$9:$K$765,"CKZ Świdnica")</f>
        <v>0</v>
      </c>
      <c r="O21" s="104">
        <f>SUMIFS('3 stopień 20_21'!$I$9:$I$765,'3 stopień 20_21'!$G$9:$G$765,D21,'3 stopień 20_21'!$K$9:$K$765,"CKZ Wołów")</f>
        <v>0</v>
      </c>
      <c r="P21" s="104">
        <f>SUMIFS('3 stopień 20_21'!$I$9:$I$765,'3 stopień 20_21'!$G$9:$G$765,D21,'3 stopień 20_21'!$K$9:$K$765,"CKZ Ziębice")</f>
        <v>0</v>
      </c>
      <c r="Q21" s="104">
        <f>SUMIFS('3 stopień 20_21'!$I$9:$I$765,'3 stopień 20_21'!$G$9:$G$765,D21,'3 stopień 20_21'!$K$9:$K$765,"CKZ Dobrodzień")</f>
        <v>0</v>
      </c>
      <c r="R21" s="104">
        <f>SUMIFS('3 stopień 20_21'!$I$9:$I$765,'3 stopień 20_21'!$G$9:$G$765,D21,'3 stopień 20_21'!$K$9:$K$765,"CKZ Głubczyce")</f>
        <v>0</v>
      </c>
      <c r="S21" s="104">
        <f>SUMIFS('3 stopień 20_21'!$I$9:$I$765,'3 stopień 20_21'!$G$9:$G$765,D21,'3 stopień 20_21'!$K$9:$K$765,"CKZ Kędzierzyn Kożle")</f>
        <v>0</v>
      </c>
      <c r="T21" s="104">
        <f>SUMIFS('3 stopień 20_21'!$I$9:$I$765,'3 stopień 20_21'!$G$9:$G$765,D21,'3 stopień 20_21'!$K$9:$K$765,"CKZ Kluczbork")</f>
        <v>0</v>
      </c>
      <c r="U21" s="104">
        <f>SUMIFS('3 stopień 20_21'!$I$9:$I$765,'3 stopień 20_21'!$G$9:$G$765,D21,'3 stopień 20_21'!$K$9:$K$765,"CKZ Krotoszyn")</f>
        <v>0</v>
      </c>
      <c r="V21" s="104">
        <f>SUMIFS('3 stopień 20_21'!$I$9:$I$765,'3 stopień 20_21'!$G$9:$G$765,D21,'3 stopień 20_21'!$K$9:$K$765,"CKZ Olkusz")</f>
        <v>0</v>
      </c>
      <c r="W21" s="104">
        <f>SUMIFS('3 stopień 20_21'!$I$9:$I$765,'3 stopień 20_21'!$G$9:$G$765,D21,'3 stopień 20_21'!$K$9:$K$765,"CKZ Wschowa")</f>
        <v>0</v>
      </c>
      <c r="X21" s="104">
        <f>SUMIFS('3 stopień 20_21'!$I$9:$I$765,'3 stopień 20_21'!$G$9:$G$765,D21,'3 stopień 20_21'!$K$9:$K$765,"CKZ Zielona Góra")</f>
        <v>0</v>
      </c>
      <c r="Y21" s="104">
        <f>SUMIFS('3 stopień 20_21'!$I$9:$I$765,'3 stopień 20_21'!$G$9:$G$765,D21,'3 stopień 20_21'!$K$9:$K$765,"Rzemieślnicza Wałbrzych")</f>
        <v>0</v>
      </c>
      <c r="Z21" s="104">
        <f>SUMIFS('3 stopień 20_21'!$I$9:$I$765,'3 stopień 20_21'!$G$9:$G$765,D21,'3 stopień 20_21'!$K$9:$K$765,"CKZ Mosina")</f>
        <v>0</v>
      </c>
      <c r="AA21" s="104">
        <f>SUMIFS('3 stopień 20_21'!$I$9:$I$765,'3 stopień 20_21'!$G$9:$G$765,D21,'3 stopień 20_21'!$K$9:$K$765,"CKZ Opole")</f>
        <v>0</v>
      </c>
      <c r="AB21" s="104">
        <f>SUMIFS('3 stopień 20_21'!$I$9:$I$765,'3 stopień 20_21'!$G$9:$G$765,D21,'3 stopień 20_21'!$K$9:$K$765,"")</f>
        <v>0</v>
      </c>
      <c r="AC21" s="105">
        <f t="shared" si="0"/>
        <v>0</v>
      </c>
    </row>
    <row r="22" spans="2:29">
      <c r="B22" s="100" t="s">
        <v>603</v>
      </c>
      <c r="C22" s="101">
        <v>818116</v>
      </c>
      <c r="D22" s="102" t="s">
        <v>906</v>
      </c>
      <c r="E22" s="100" t="s">
        <v>697</v>
      </c>
      <c r="F22" s="103">
        <f>SUMIF('3 stopień 20_21'!G$9:G$750,D22,'3 stopień 20_21'!I$9:I$751)</f>
        <v>0</v>
      </c>
      <c r="G22" s="104">
        <f>SUMIFS('3 stopień 20_21'!$I$9:$I$765,'3 stopień 20_21'!$G$9:$G$765,D22,'3 stopień 20_21'!$K$9:$K$765,"CKZ Bielawa")</f>
        <v>0</v>
      </c>
      <c r="H22" s="104">
        <f>SUMIFS('3 stopień 20_21'!$I$9:$I$765,'3 stopień 20_21'!$G$9:$G$765,D22,'3 stopień 20_21'!$K$9:$K$765,"GCKZ Głogów")</f>
        <v>0</v>
      </c>
      <c r="I22" s="104">
        <f>SUMIFS('3 stopień 20_21'!$I$9:$I$765,'3 stopień 20_21'!$G$9:$G$765,D22,'3 stopień 20_21'!$K$9:$K$765,"CKZ Jawor")</f>
        <v>0</v>
      </c>
      <c r="J22" s="104">
        <f>SUMIFS('3 stopień 20_21'!$I$9:$I$765,'3 stopień 20_21'!$G$9:$G$765,D22,'3 stopień 20_21'!$K$9:$K$765,"JCKZ Jelenia Góra")</f>
        <v>0</v>
      </c>
      <c r="K22" s="104">
        <f>SUMIFS('3 stopień 20_21'!$I$9:$I$765,'3 stopień 20_21'!$G$9:$G$765,D22,'3 stopień 20_21'!$K$9:$K$765,"CKZ Kłodzko")</f>
        <v>0</v>
      </c>
      <c r="L22" s="104">
        <f>SUMIFS('3 stopień 20_21'!$I$9:$I$765,'3 stopień 20_21'!$G$9:$G$765,D22,'3 stopień 20_21'!$K$9:$K$765,"CKZ Legnica")</f>
        <v>0</v>
      </c>
      <c r="M22" s="104">
        <f>SUMIFS('3 stopień 20_21'!$I$9:$I$765,'3 stopień 20_21'!$G$9:$G$765,D22,'3 stopień 20_21'!$K$9:$K$765,"CKZ Oleśnica")</f>
        <v>0</v>
      </c>
      <c r="N22" s="104">
        <f>SUMIFS('3 stopień 20_21'!$I$9:$I$765,'3 stopień 20_21'!$G$9:$G$765,D22,'3 stopień 20_21'!$K$9:$K$765,"CKZ Świdnica")</f>
        <v>0</v>
      </c>
      <c r="O22" s="104">
        <f>SUMIFS('3 stopień 20_21'!$I$9:$I$765,'3 stopień 20_21'!$G$9:$G$765,D22,'3 stopień 20_21'!$K$9:$K$765,"CKZ Wołów")</f>
        <v>0</v>
      </c>
      <c r="P22" s="104">
        <f>SUMIFS('3 stopień 20_21'!$I$9:$I$765,'3 stopień 20_21'!$G$9:$G$765,D22,'3 stopień 20_21'!$K$9:$K$765,"CKZ Ziębice")</f>
        <v>0</v>
      </c>
      <c r="Q22" s="104">
        <f>SUMIFS('3 stopień 20_21'!$I$9:$I$765,'3 stopień 20_21'!$G$9:$G$765,D22,'3 stopień 20_21'!$K$9:$K$765,"CKZ Dobrodzień")</f>
        <v>0</v>
      </c>
      <c r="R22" s="104">
        <f>SUMIFS('3 stopień 20_21'!$I$9:$I$765,'3 stopień 20_21'!$G$9:$G$765,D22,'3 stopień 20_21'!$K$9:$K$765,"CKZ Głubczyce")</f>
        <v>0</v>
      </c>
      <c r="S22" s="104">
        <f>SUMIFS('3 stopień 20_21'!$I$9:$I$765,'3 stopień 20_21'!$G$9:$G$765,D22,'3 stopień 20_21'!$K$9:$K$765,"CKZ Kędzierzyn Kożle")</f>
        <v>0</v>
      </c>
      <c r="T22" s="104">
        <f>SUMIFS('3 stopień 20_21'!$I$9:$I$765,'3 stopień 20_21'!$G$9:$G$765,D22,'3 stopień 20_21'!$K$9:$K$765,"CKZ Kluczbork")</f>
        <v>0</v>
      </c>
      <c r="U22" s="104">
        <f>SUMIFS('3 stopień 20_21'!$I$9:$I$765,'3 stopień 20_21'!$G$9:$G$765,D22,'3 stopień 20_21'!$K$9:$K$765,"CKZ Krotoszyn")</f>
        <v>0</v>
      </c>
      <c r="V22" s="104">
        <f>SUMIFS('3 stopień 20_21'!$I$9:$I$765,'3 stopień 20_21'!$G$9:$G$765,D22,'3 stopień 20_21'!$K$9:$K$765,"CKZ Olkusz")</f>
        <v>0</v>
      </c>
      <c r="W22" s="104">
        <f>SUMIFS('3 stopień 20_21'!$I$9:$I$765,'3 stopień 20_21'!$G$9:$G$765,D22,'3 stopień 20_21'!$K$9:$K$765,"CKZ Wschowa")</f>
        <v>0</v>
      </c>
      <c r="X22" s="104">
        <f>SUMIFS('3 stopień 20_21'!$I$9:$I$765,'3 stopień 20_21'!$G$9:$G$765,D22,'3 stopień 20_21'!$K$9:$K$765,"CKZ Zielona Góra")</f>
        <v>0</v>
      </c>
      <c r="Y22" s="104">
        <f>SUMIFS('3 stopień 20_21'!$I$9:$I$765,'3 stopień 20_21'!$G$9:$G$765,D22,'3 stopień 20_21'!$K$9:$K$765,"Rzemieślnicza Wałbrzych")</f>
        <v>0</v>
      </c>
      <c r="Z22" s="104">
        <f>SUMIFS('3 stopień 20_21'!$I$9:$I$765,'3 stopień 20_21'!$G$9:$G$765,D22,'3 stopień 20_21'!$K$9:$K$765,"CKZ Mosina")</f>
        <v>0</v>
      </c>
      <c r="AA22" s="104">
        <f>SUMIFS('3 stopień 20_21'!$I$9:$I$765,'3 stopień 20_21'!$G$9:$G$765,D22,'3 stopień 20_21'!$K$9:$K$765,"CKZ Opole")</f>
        <v>0</v>
      </c>
      <c r="AB22" s="104">
        <f>SUMIFS('3 stopień 20_21'!$I$9:$I$765,'3 stopień 20_21'!$G$9:$G$765,D22,'3 stopień 20_21'!$K$9:$K$765,"")</f>
        <v>0</v>
      </c>
      <c r="AC22" s="105">
        <f t="shared" si="0"/>
        <v>0</v>
      </c>
    </row>
    <row r="23" spans="2:29">
      <c r="B23" s="100" t="s">
        <v>605</v>
      </c>
      <c r="C23" s="101">
        <v>814209</v>
      </c>
      <c r="D23" s="102" t="s">
        <v>908</v>
      </c>
      <c r="E23" s="100" t="s">
        <v>701</v>
      </c>
      <c r="F23" s="103">
        <f>SUMIF('3 stopień 20_21'!G$9:G$750,D23,'3 stopień 20_21'!I$9:I$751)</f>
        <v>0</v>
      </c>
      <c r="G23" s="104">
        <f>SUMIFS('3 stopień 20_21'!$I$9:$I$765,'3 stopień 20_21'!$G$9:$G$765,D23,'3 stopień 20_21'!$K$9:$K$765,"CKZ Bielawa")</f>
        <v>0</v>
      </c>
      <c r="H23" s="104">
        <f>SUMIFS('3 stopień 20_21'!$I$9:$I$765,'3 stopień 20_21'!$G$9:$G$765,D23,'3 stopień 20_21'!$K$9:$K$765,"GCKZ Głogów")</f>
        <v>0</v>
      </c>
      <c r="I23" s="104">
        <f>SUMIFS('3 stopień 20_21'!$I$9:$I$765,'3 stopień 20_21'!$G$9:$G$765,D23,'3 stopień 20_21'!$K$9:$K$765,"CKZ Jawor")</f>
        <v>0</v>
      </c>
      <c r="J23" s="104">
        <f>SUMIFS('3 stopień 20_21'!$I$9:$I$765,'3 stopień 20_21'!$G$9:$G$765,D23,'3 stopień 20_21'!$K$9:$K$765,"JCKZ Jelenia Góra")</f>
        <v>0</v>
      </c>
      <c r="K23" s="104">
        <f>SUMIFS('3 stopień 20_21'!$I$9:$I$765,'3 stopień 20_21'!$G$9:$G$765,D23,'3 stopień 20_21'!$K$9:$K$765,"CKZ Kłodzko")</f>
        <v>0</v>
      </c>
      <c r="L23" s="104">
        <f>SUMIFS('3 stopień 20_21'!$I$9:$I$765,'3 stopień 20_21'!$G$9:$G$765,D23,'3 stopień 20_21'!$K$9:$K$765,"CKZ Legnica")</f>
        <v>0</v>
      </c>
      <c r="M23" s="104">
        <f>SUMIFS('3 stopień 20_21'!$I$9:$I$765,'3 stopień 20_21'!$G$9:$G$765,D23,'3 stopień 20_21'!$K$9:$K$765,"CKZ Oleśnica")</f>
        <v>0</v>
      </c>
      <c r="N23" s="104">
        <f>SUMIFS('3 stopień 20_21'!$I$9:$I$765,'3 stopień 20_21'!$G$9:$G$765,D23,'3 stopień 20_21'!$K$9:$K$765,"CKZ Świdnica")</f>
        <v>0</v>
      </c>
      <c r="O23" s="104">
        <f>SUMIFS('3 stopień 20_21'!$I$9:$I$765,'3 stopień 20_21'!$G$9:$G$765,D23,'3 stopień 20_21'!$K$9:$K$765,"CKZ Wołów")</f>
        <v>0</v>
      </c>
      <c r="P23" s="104">
        <f>SUMIFS('3 stopień 20_21'!$I$9:$I$765,'3 stopień 20_21'!$G$9:$G$765,D23,'3 stopień 20_21'!$K$9:$K$765,"CKZ Ziębice")</f>
        <v>0</v>
      </c>
      <c r="Q23" s="104">
        <f>SUMIFS('3 stopień 20_21'!$I$9:$I$765,'3 stopień 20_21'!$G$9:$G$765,D23,'3 stopień 20_21'!$K$9:$K$765,"CKZ Dobrodzień")</f>
        <v>0</v>
      </c>
      <c r="R23" s="104">
        <f>SUMIFS('3 stopień 20_21'!$I$9:$I$765,'3 stopień 20_21'!$G$9:$G$765,D23,'3 stopień 20_21'!$K$9:$K$765,"CKZ Głubczyce")</f>
        <v>0</v>
      </c>
      <c r="S23" s="104">
        <f>SUMIFS('3 stopień 20_21'!$I$9:$I$765,'3 stopień 20_21'!$G$9:$G$765,D23,'3 stopień 20_21'!$K$9:$K$765,"CKZ Kędzierzyn Kożle")</f>
        <v>0</v>
      </c>
      <c r="T23" s="104">
        <f>SUMIFS('3 stopień 20_21'!$I$9:$I$765,'3 stopień 20_21'!$G$9:$G$765,D23,'3 stopień 20_21'!$K$9:$K$765,"CKZ Kluczbork")</f>
        <v>0</v>
      </c>
      <c r="U23" s="104">
        <f>SUMIFS('3 stopień 20_21'!$I$9:$I$765,'3 stopień 20_21'!$G$9:$G$765,D23,'3 stopień 20_21'!$K$9:$K$765,"CKZ Krotoszyn")</f>
        <v>0</v>
      </c>
      <c r="V23" s="104">
        <f>SUMIFS('3 stopień 20_21'!$I$9:$I$765,'3 stopień 20_21'!$G$9:$G$765,D23,'3 stopień 20_21'!$K$9:$K$765,"CKZ Olkusz")</f>
        <v>0</v>
      </c>
      <c r="W23" s="104">
        <f>SUMIFS('3 stopień 20_21'!$I$9:$I$765,'3 stopień 20_21'!$G$9:$G$765,D23,'3 stopień 20_21'!$K$9:$K$765,"CKZ Wschowa")</f>
        <v>0</v>
      </c>
      <c r="X23" s="104">
        <f>SUMIFS('3 stopień 20_21'!$I$9:$I$765,'3 stopień 20_21'!$G$9:$G$765,D23,'3 stopień 20_21'!$K$9:$K$765,"CKZ Zielona Góra")</f>
        <v>0</v>
      </c>
      <c r="Y23" s="104">
        <f>SUMIFS('3 stopień 20_21'!$I$9:$I$765,'3 stopień 20_21'!$G$9:$G$765,D23,'3 stopień 20_21'!$K$9:$K$765,"Rzemieślnicza Wałbrzych")</f>
        <v>0</v>
      </c>
      <c r="Z23" s="104">
        <f>SUMIFS('3 stopień 20_21'!$I$9:$I$765,'3 stopień 20_21'!$G$9:$G$765,D23,'3 stopień 20_21'!$K$9:$K$765,"CKZ Mosina")</f>
        <v>0</v>
      </c>
      <c r="AA23" s="104">
        <f>SUMIFS('3 stopień 20_21'!$I$9:$I$765,'3 stopień 20_21'!$G$9:$G$765,D23,'3 stopień 20_21'!$K$9:$K$765,"CKZ Opole")</f>
        <v>0</v>
      </c>
      <c r="AB23" s="104">
        <f>SUMIFS('3 stopień 20_21'!$I$9:$I$765,'3 stopień 20_21'!$G$9:$G$765,D23,'3 stopień 20_21'!$K$9:$K$765,"")</f>
        <v>0</v>
      </c>
      <c r="AC23" s="105">
        <f t="shared" si="0"/>
        <v>0</v>
      </c>
    </row>
    <row r="24" spans="2:29">
      <c r="B24" s="100" t="s">
        <v>606</v>
      </c>
      <c r="C24" s="101">
        <v>813134</v>
      </c>
      <c r="D24" s="102" t="s">
        <v>907</v>
      </c>
      <c r="E24" s="100" t="s">
        <v>703</v>
      </c>
      <c r="F24" s="103">
        <f>SUMIF('3 stopień 20_21'!G$9:G$750,D24,'3 stopień 20_21'!I$9:I$751)</f>
        <v>0</v>
      </c>
      <c r="G24" s="104">
        <f>SUMIFS('3 stopień 20_21'!$I$9:$I$765,'3 stopień 20_21'!$G$9:$G$765,D24,'3 stopień 20_21'!$K$9:$K$765,"CKZ Bielawa")</f>
        <v>0</v>
      </c>
      <c r="H24" s="104">
        <f>SUMIFS('3 stopień 20_21'!$I$9:$I$765,'3 stopień 20_21'!$G$9:$G$765,D24,'3 stopień 20_21'!$K$9:$K$765,"GCKZ Głogów")</f>
        <v>0</v>
      </c>
      <c r="I24" s="104">
        <f>SUMIFS('3 stopień 20_21'!$I$9:$I$765,'3 stopień 20_21'!$G$9:$G$765,D24,'3 stopień 20_21'!$K$9:$K$765,"CKZ Jawor")</f>
        <v>0</v>
      </c>
      <c r="J24" s="104">
        <f>SUMIFS('3 stopień 20_21'!$I$9:$I$765,'3 stopień 20_21'!$G$9:$G$765,D24,'3 stopień 20_21'!$K$9:$K$765,"JCKZ Jelenia Góra")</f>
        <v>0</v>
      </c>
      <c r="K24" s="104">
        <f>SUMIFS('3 stopień 20_21'!$I$9:$I$765,'3 stopień 20_21'!$G$9:$G$765,D24,'3 stopień 20_21'!$K$9:$K$765,"CKZ Kłodzko")</f>
        <v>0</v>
      </c>
      <c r="L24" s="104">
        <f>SUMIFS('3 stopień 20_21'!$I$9:$I$765,'3 stopień 20_21'!$G$9:$G$765,D24,'3 stopień 20_21'!$K$9:$K$765,"CKZ Legnica")</f>
        <v>0</v>
      </c>
      <c r="M24" s="104">
        <f>SUMIFS('3 stopień 20_21'!$I$9:$I$765,'3 stopień 20_21'!$G$9:$G$765,D24,'3 stopień 20_21'!$K$9:$K$765,"CKZ Oleśnica")</f>
        <v>0</v>
      </c>
      <c r="N24" s="104">
        <f>SUMIFS('3 stopień 20_21'!$I$9:$I$765,'3 stopień 20_21'!$G$9:$G$765,D24,'3 stopień 20_21'!$K$9:$K$765,"CKZ Świdnica")</f>
        <v>0</v>
      </c>
      <c r="O24" s="104">
        <f>SUMIFS('3 stopień 20_21'!$I$9:$I$765,'3 stopień 20_21'!$G$9:$G$765,D24,'3 stopień 20_21'!$K$9:$K$765,"CKZ Wołów")</f>
        <v>0</v>
      </c>
      <c r="P24" s="104">
        <f>SUMIFS('3 stopień 20_21'!$I$9:$I$765,'3 stopień 20_21'!$G$9:$G$765,D24,'3 stopień 20_21'!$K$9:$K$765,"CKZ Ziębice")</f>
        <v>0</v>
      </c>
      <c r="Q24" s="104">
        <f>SUMIFS('3 stopień 20_21'!$I$9:$I$765,'3 stopień 20_21'!$G$9:$G$765,D24,'3 stopień 20_21'!$K$9:$K$765,"CKZ Dobrodzień")</f>
        <v>0</v>
      </c>
      <c r="R24" s="104">
        <f>SUMIFS('3 stopień 20_21'!$I$9:$I$765,'3 stopień 20_21'!$G$9:$G$765,D24,'3 stopień 20_21'!$K$9:$K$765,"CKZ Głubczyce")</f>
        <v>0</v>
      </c>
      <c r="S24" s="104">
        <f>SUMIFS('3 stopień 20_21'!$I$9:$I$765,'3 stopień 20_21'!$G$9:$G$765,D24,'3 stopień 20_21'!$K$9:$K$765,"CKZ Kędzierzyn Kożle")</f>
        <v>0</v>
      </c>
      <c r="T24" s="104">
        <f>SUMIFS('3 stopień 20_21'!$I$9:$I$765,'3 stopień 20_21'!$G$9:$G$765,D24,'3 stopień 20_21'!$K$9:$K$765,"CKZ Kluczbork")</f>
        <v>0</v>
      </c>
      <c r="U24" s="104">
        <f>SUMIFS('3 stopień 20_21'!$I$9:$I$765,'3 stopień 20_21'!$G$9:$G$765,D24,'3 stopień 20_21'!$K$9:$K$765,"CKZ Krotoszyn")</f>
        <v>0</v>
      </c>
      <c r="V24" s="104">
        <f>SUMIFS('3 stopień 20_21'!$I$9:$I$765,'3 stopień 20_21'!$G$9:$G$765,D24,'3 stopień 20_21'!$K$9:$K$765,"CKZ Olkusz")</f>
        <v>0</v>
      </c>
      <c r="W24" s="104">
        <f>SUMIFS('3 stopień 20_21'!$I$9:$I$765,'3 stopień 20_21'!$G$9:$G$765,D24,'3 stopień 20_21'!$K$9:$K$765,"CKZ Wschowa")</f>
        <v>0</v>
      </c>
      <c r="X24" s="104">
        <f>SUMIFS('3 stopień 20_21'!$I$9:$I$765,'3 stopień 20_21'!$G$9:$G$765,D24,'3 stopień 20_21'!$K$9:$K$765,"CKZ Zielona Góra")</f>
        <v>0</v>
      </c>
      <c r="Y24" s="104">
        <f>SUMIFS('3 stopień 20_21'!$I$9:$I$765,'3 stopień 20_21'!$G$9:$G$765,D24,'3 stopień 20_21'!$K$9:$K$765,"Rzemieślnicza Wałbrzych")</f>
        <v>0</v>
      </c>
      <c r="Z24" s="104">
        <f>SUMIFS('3 stopień 20_21'!$I$9:$I$765,'3 stopień 20_21'!$G$9:$G$765,D24,'3 stopień 20_21'!$K$9:$K$765,"CKZ Mosina")</f>
        <v>0</v>
      </c>
      <c r="AA24" s="104">
        <f>SUMIFS('3 stopień 20_21'!$I$9:$I$765,'3 stopień 20_21'!$G$9:$G$765,D24,'3 stopień 20_21'!$K$9:$K$765,"CKZ Opole")</f>
        <v>0</v>
      </c>
      <c r="AB24" s="104">
        <f>SUMIFS('3 stopień 20_21'!$I$9:$I$765,'3 stopień 20_21'!$G$9:$G$765,D24,'3 stopień 20_21'!$K$9:$K$765,"")</f>
        <v>0</v>
      </c>
      <c r="AC24" s="105">
        <f t="shared" si="0"/>
        <v>0</v>
      </c>
    </row>
    <row r="25" spans="2:29">
      <c r="B25" s="100" t="s">
        <v>607</v>
      </c>
      <c r="C25" s="101">
        <v>731702</v>
      </c>
      <c r="D25" s="102" t="s">
        <v>909</v>
      </c>
      <c r="E25" s="100" t="s">
        <v>705</v>
      </c>
      <c r="F25" s="103">
        <f>SUMIF('3 stopień 20_21'!G$9:G$750,D25,'3 stopień 20_21'!I$9:I$751)</f>
        <v>0</v>
      </c>
      <c r="G25" s="104">
        <f>SUMIFS('3 stopień 20_21'!$I$9:$I$765,'3 stopień 20_21'!$G$9:$G$765,D25,'3 stopień 20_21'!$K$9:$K$765,"CKZ Bielawa")</f>
        <v>0</v>
      </c>
      <c r="H25" s="104">
        <f>SUMIFS('3 stopień 20_21'!$I$9:$I$765,'3 stopień 20_21'!$G$9:$G$765,D25,'3 stopień 20_21'!$K$9:$K$765,"GCKZ Głogów")</f>
        <v>0</v>
      </c>
      <c r="I25" s="104">
        <f>SUMIFS('3 stopień 20_21'!$I$9:$I$765,'3 stopień 20_21'!$G$9:$G$765,D25,'3 stopień 20_21'!$K$9:$K$765,"CKZ Jawor")</f>
        <v>0</v>
      </c>
      <c r="J25" s="104">
        <f>SUMIFS('3 stopień 20_21'!$I$9:$I$765,'3 stopień 20_21'!$G$9:$G$765,D25,'3 stopień 20_21'!$K$9:$K$765,"JCKZ Jelenia Góra")</f>
        <v>0</v>
      </c>
      <c r="K25" s="104">
        <f>SUMIFS('3 stopień 20_21'!$I$9:$I$765,'3 stopień 20_21'!$G$9:$G$765,D25,'3 stopień 20_21'!$K$9:$K$765,"CKZ Kłodzko")</f>
        <v>0</v>
      </c>
      <c r="L25" s="104">
        <f>SUMIFS('3 stopień 20_21'!$I$9:$I$765,'3 stopień 20_21'!$G$9:$G$765,D25,'3 stopień 20_21'!$K$9:$K$765,"CKZ Legnica")</f>
        <v>0</v>
      </c>
      <c r="M25" s="104">
        <f>SUMIFS('3 stopień 20_21'!$I$9:$I$765,'3 stopień 20_21'!$G$9:$G$765,D25,'3 stopień 20_21'!$K$9:$K$765,"CKZ Oleśnica")</f>
        <v>0</v>
      </c>
      <c r="N25" s="104">
        <f>SUMIFS('3 stopień 20_21'!$I$9:$I$765,'3 stopień 20_21'!$G$9:$G$765,D25,'3 stopień 20_21'!$K$9:$K$765,"CKZ Świdnica")</f>
        <v>0</v>
      </c>
      <c r="O25" s="104">
        <f>SUMIFS('3 stopień 20_21'!$I$9:$I$765,'3 stopień 20_21'!$G$9:$G$765,D25,'3 stopień 20_21'!$K$9:$K$765,"CKZ Wołów")</f>
        <v>0</v>
      </c>
      <c r="P25" s="104">
        <f>SUMIFS('3 stopień 20_21'!$I$9:$I$765,'3 stopień 20_21'!$G$9:$G$765,D25,'3 stopień 20_21'!$K$9:$K$765,"CKZ Ziębice")</f>
        <v>0</v>
      </c>
      <c r="Q25" s="104">
        <f>SUMIFS('3 stopień 20_21'!$I$9:$I$765,'3 stopień 20_21'!$G$9:$G$765,D25,'3 stopień 20_21'!$K$9:$K$765,"CKZ Dobrodzień")</f>
        <v>0</v>
      </c>
      <c r="R25" s="104">
        <f>SUMIFS('3 stopień 20_21'!$I$9:$I$765,'3 stopień 20_21'!$G$9:$G$765,D25,'3 stopień 20_21'!$K$9:$K$765,"CKZ Głubczyce")</f>
        <v>0</v>
      </c>
      <c r="S25" s="104">
        <f>SUMIFS('3 stopień 20_21'!$I$9:$I$765,'3 stopień 20_21'!$G$9:$G$765,D25,'3 stopień 20_21'!$K$9:$K$765,"CKZ Kędzierzyn Kożle")</f>
        <v>0</v>
      </c>
      <c r="T25" s="104">
        <f>SUMIFS('3 stopień 20_21'!$I$9:$I$765,'3 stopień 20_21'!$G$9:$G$765,D25,'3 stopień 20_21'!$K$9:$K$765,"CKZ Kluczbork")</f>
        <v>0</v>
      </c>
      <c r="U25" s="104">
        <f>SUMIFS('3 stopień 20_21'!$I$9:$I$765,'3 stopień 20_21'!$G$9:$G$765,D25,'3 stopień 20_21'!$K$9:$K$765,"CKZ Krotoszyn")</f>
        <v>0</v>
      </c>
      <c r="V25" s="104">
        <f>SUMIFS('3 stopień 20_21'!$I$9:$I$765,'3 stopień 20_21'!$G$9:$G$765,D25,'3 stopień 20_21'!$K$9:$K$765,"CKZ Olkusz")</f>
        <v>0</v>
      </c>
      <c r="W25" s="104">
        <f>SUMIFS('3 stopień 20_21'!$I$9:$I$765,'3 stopień 20_21'!$G$9:$G$765,D25,'3 stopień 20_21'!$K$9:$K$765,"CKZ Wschowa")</f>
        <v>0</v>
      </c>
      <c r="X25" s="104">
        <f>SUMIFS('3 stopień 20_21'!$I$9:$I$765,'3 stopień 20_21'!$G$9:$G$765,D25,'3 stopień 20_21'!$K$9:$K$765,"CKZ Zielona Góra")</f>
        <v>0</v>
      </c>
      <c r="Y25" s="104">
        <f>SUMIFS('3 stopień 20_21'!$I$9:$I$765,'3 stopień 20_21'!$G$9:$G$765,D25,'3 stopień 20_21'!$K$9:$K$765,"Rzemieślnicza Wałbrzych")</f>
        <v>0</v>
      </c>
      <c r="Z25" s="104">
        <f>SUMIFS('3 stopień 20_21'!$I$9:$I$765,'3 stopień 20_21'!$G$9:$G$765,D25,'3 stopień 20_21'!$K$9:$K$765,"CKZ Mosina")</f>
        <v>0</v>
      </c>
      <c r="AA25" s="104">
        <f>SUMIFS('3 stopień 20_21'!$I$9:$I$765,'3 stopień 20_21'!$G$9:$G$765,D25,'3 stopień 20_21'!$K$9:$K$765,"CKZ Opole")</f>
        <v>0</v>
      </c>
      <c r="AB25" s="104">
        <f>SUMIFS('3 stopień 20_21'!$I$9:$I$765,'3 stopień 20_21'!$G$9:$G$765,D25,'3 stopień 20_21'!$K$9:$K$765,"")</f>
        <v>0</v>
      </c>
      <c r="AC25" s="105">
        <f t="shared" si="0"/>
        <v>0</v>
      </c>
    </row>
    <row r="26" spans="2:29">
      <c r="B26" s="100" t="s">
        <v>608</v>
      </c>
      <c r="C26" s="101">
        <v>817212</v>
      </c>
      <c r="D26" s="102" t="s">
        <v>910</v>
      </c>
      <c r="E26" s="100" t="s">
        <v>707</v>
      </c>
      <c r="F26" s="103">
        <f>SUMIF('3 stopień 20_21'!G$9:G$750,D26,'3 stopień 20_21'!I$9:I$751)</f>
        <v>0</v>
      </c>
      <c r="G26" s="104">
        <f>SUMIFS('3 stopień 20_21'!$I$9:$I$765,'3 stopień 20_21'!$G$9:$G$765,D26,'3 stopień 20_21'!$K$9:$K$765,"CKZ Bielawa")</f>
        <v>0</v>
      </c>
      <c r="H26" s="104">
        <f>SUMIFS('3 stopień 20_21'!$I$9:$I$765,'3 stopień 20_21'!$G$9:$G$765,D26,'3 stopień 20_21'!$K$9:$K$765,"GCKZ Głogów")</f>
        <v>0</v>
      </c>
      <c r="I26" s="104">
        <f>SUMIFS('3 stopień 20_21'!$I$9:$I$765,'3 stopień 20_21'!$G$9:$G$765,D26,'3 stopień 20_21'!$K$9:$K$765,"CKZ Jawor")</f>
        <v>0</v>
      </c>
      <c r="J26" s="104">
        <f>SUMIFS('3 stopień 20_21'!$I$9:$I$765,'3 stopień 20_21'!$G$9:$G$765,D26,'3 stopień 20_21'!$K$9:$K$765,"JCKZ Jelenia Góra")</f>
        <v>0</v>
      </c>
      <c r="K26" s="104">
        <f>SUMIFS('3 stopień 20_21'!$I$9:$I$765,'3 stopień 20_21'!$G$9:$G$765,D26,'3 stopień 20_21'!$K$9:$K$765,"CKZ Kłodzko")</f>
        <v>0</v>
      </c>
      <c r="L26" s="104">
        <f>SUMIFS('3 stopień 20_21'!$I$9:$I$765,'3 stopień 20_21'!$G$9:$G$765,D26,'3 stopień 20_21'!$K$9:$K$765,"CKZ Legnica")</f>
        <v>0</v>
      </c>
      <c r="M26" s="104">
        <f>SUMIFS('3 stopień 20_21'!$I$9:$I$765,'3 stopień 20_21'!$G$9:$G$765,D26,'3 stopień 20_21'!$K$9:$K$765,"CKZ Oleśnica")</f>
        <v>0</v>
      </c>
      <c r="N26" s="104">
        <f>SUMIFS('3 stopień 20_21'!$I$9:$I$765,'3 stopień 20_21'!$G$9:$G$765,D26,'3 stopień 20_21'!$K$9:$K$765,"CKZ Świdnica")</f>
        <v>0</v>
      </c>
      <c r="O26" s="104">
        <f>SUMIFS('3 stopień 20_21'!$I$9:$I$765,'3 stopień 20_21'!$G$9:$G$765,D26,'3 stopień 20_21'!$K$9:$K$765,"CKZ Wołów")</f>
        <v>0</v>
      </c>
      <c r="P26" s="104">
        <f>SUMIFS('3 stopień 20_21'!$I$9:$I$765,'3 stopień 20_21'!$G$9:$G$765,D26,'3 stopień 20_21'!$K$9:$K$765,"CKZ Ziębice")</f>
        <v>0</v>
      </c>
      <c r="Q26" s="104">
        <f>SUMIFS('3 stopień 20_21'!$I$9:$I$765,'3 stopień 20_21'!$G$9:$G$765,D26,'3 stopień 20_21'!$K$9:$K$765,"CKZ Dobrodzień")</f>
        <v>0</v>
      </c>
      <c r="R26" s="104">
        <f>SUMIFS('3 stopień 20_21'!$I$9:$I$765,'3 stopień 20_21'!$G$9:$G$765,D26,'3 stopień 20_21'!$K$9:$K$765,"CKZ Głubczyce")</f>
        <v>0</v>
      </c>
      <c r="S26" s="104">
        <f>SUMIFS('3 stopień 20_21'!$I$9:$I$765,'3 stopień 20_21'!$G$9:$G$765,D26,'3 stopień 20_21'!$K$9:$K$765,"CKZ Kędzierzyn Kożle")</f>
        <v>0</v>
      </c>
      <c r="T26" s="104">
        <f>SUMIFS('3 stopień 20_21'!$I$9:$I$765,'3 stopień 20_21'!$G$9:$G$765,D26,'3 stopień 20_21'!$K$9:$K$765,"CKZ Kluczbork")</f>
        <v>0</v>
      </c>
      <c r="U26" s="104">
        <f>SUMIFS('3 stopień 20_21'!$I$9:$I$765,'3 stopień 20_21'!$G$9:$G$765,D26,'3 stopień 20_21'!$K$9:$K$765,"CKZ Krotoszyn")</f>
        <v>0</v>
      </c>
      <c r="V26" s="104">
        <f>SUMIFS('3 stopień 20_21'!$I$9:$I$765,'3 stopień 20_21'!$G$9:$G$765,D26,'3 stopień 20_21'!$K$9:$K$765,"CKZ Olkusz")</f>
        <v>0</v>
      </c>
      <c r="W26" s="104">
        <f>SUMIFS('3 stopień 20_21'!$I$9:$I$765,'3 stopień 20_21'!$G$9:$G$765,D26,'3 stopień 20_21'!$K$9:$K$765,"CKZ Wschowa")</f>
        <v>0</v>
      </c>
      <c r="X26" s="104">
        <f>SUMIFS('3 stopień 20_21'!$I$9:$I$765,'3 stopień 20_21'!$G$9:$G$765,D26,'3 stopień 20_21'!$K$9:$K$765,"CKZ Zielona Góra")</f>
        <v>0</v>
      </c>
      <c r="Y26" s="104">
        <f>SUMIFS('3 stopień 20_21'!$I$9:$I$765,'3 stopień 20_21'!$G$9:$G$765,D26,'3 stopień 20_21'!$K$9:$K$765,"Rzemieślnicza Wałbrzych")</f>
        <v>0</v>
      </c>
      <c r="Z26" s="104">
        <f>SUMIFS('3 stopień 20_21'!$I$9:$I$765,'3 stopień 20_21'!$G$9:$G$765,D26,'3 stopień 20_21'!$K$9:$K$765,"CKZ Mosina")</f>
        <v>0</v>
      </c>
      <c r="AA26" s="104">
        <f>SUMIFS('3 stopień 20_21'!$I$9:$I$765,'3 stopień 20_21'!$G$9:$G$765,D26,'3 stopień 20_21'!$K$9:$K$765,"CKZ Opole")</f>
        <v>0</v>
      </c>
      <c r="AB26" s="104">
        <f>SUMIFS('3 stopień 20_21'!$I$9:$I$765,'3 stopień 20_21'!$G$9:$G$765,D26,'3 stopień 20_21'!$K$9:$K$765,"")</f>
        <v>0</v>
      </c>
      <c r="AC26" s="105">
        <f t="shared" si="0"/>
        <v>0</v>
      </c>
    </row>
    <row r="27" spans="2:29">
      <c r="B27" s="100" t="s">
        <v>609</v>
      </c>
      <c r="C27" s="101">
        <v>932918</v>
      </c>
      <c r="D27" s="102" t="s">
        <v>904</v>
      </c>
      <c r="E27" s="100" t="s">
        <v>905</v>
      </c>
      <c r="F27" s="103">
        <f>SUMIF('3 stopień 20_21'!G$9:G$750,D27,'3 stopień 20_21'!I$9:I$751)</f>
        <v>0</v>
      </c>
      <c r="G27" s="104">
        <f>SUMIFS('3 stopień 20_21'!$I$9:$I$765,'3 stopień 20_21'!$G$9:$G$765,D27,'3 stopień 20_21'!$K$9:$K$765,"CKZ Bielawa")</f>
        <v>0</v>
      </c>
      <c r="H27" s="104">
        <f>SUMIFS('3 stopień 20_21'!$I$9:$I$765,'3 stopień 20_21'!$G$9:$G$765,D27,'3 stopień 20_21'!$K$9:$K$765,"GCKZ Głogów")</f>
        <v>0</v>
      </c>
      <c r="I27" s="104">
        <f>SUMIFS('3 stopień 20_21'!$I$9:$I$765,'3 stopień 20_21'!$G$9:$G$765,D27,'3 stopień 20_21'!$K$9:$K$765,"CKZ Jawor")</f>
        <v>0</v>
      </c>
      <c r="J27" s="104">
        <f>SUMIFS('3 stopień 20_21'!$I$9:$I$765,'3 stopień 20_21'!$G$9:$G$765,D27,'3 stopień 20_21'!$K$9:$K$765,"JCKZ Jelenia Góra")</f>
        <v>0</v>
      </c>
      <c r="K27" s="104">
        <f>SUMIFS('3 stopień 20_21'!$I$9:$I$765,'3 stopień 20_21'!$G$9:$G$765,D27,'3 stopień 20_21'!$K$9:$K$765,"CKZ Kłodzko")</f>
        <v>0</v>
      </c>
      <c r="L27" s="104">
        <f>SUMIFS('3 stopień 20_21'!$I$9:$I$765,'3 stopień 20_21'!$G$9:$G$765,D27,'3 stopień 20_21'!$K$9:$K$765,"CKZ Legnica")</f>
        <v>0</v>
      </c>
      <c r="M27" s="104">
        <f>SUMIFS('3 stopień 20_21'!$I$9:$I$765,'3 stopień 20_21'!$G$9:$G$765,D27,'3 stopień 20_21'!$K$9:$K$765,"CKZ Oleśnica")</f>
        <v>0</v>
      </c>
      <c r="N27" s="104">
        <f>SUMIFS('3 stopień 20_21'!$I$9:$I$765,'3 stopień 20_21'!$G$9:$G$765,D27,'3 stopień 20_21'!$K$9:$K$765,"CKZ Świdnica")</f>
        <v>0</v>
      </c>
      <c r="O27" s="104">
        <f>SUMIFS('3 stopień 20_21'!$I$9:$I$765,'3 stopień 20_21'!$G$9:$G$765,D27,'3 stopień 20_21'!$K$9:$K$765,"CKZ Wołów")</f>
        <v>0</v>
      </c>
      <c r="P27" s="104">
        <f>SUMIFS('3 stopień 20_21'!$I$9:$I$765,'3 stopień 20_21'!$G$9:$G$765,D27,'3 stopień 20_21'!$K$9:$K$765,"CKZ Ziębice")</f>
        <v>0</v>
      </c>
      <c r="Q27" s="104">
        <f>SUMIFS('3 stopień 20_21'!$I$9:$I$765,'3 stopień 20_21'!$G$9:$G$765,D27,'3 stopień 20_21'!$K$9:$K$765,"CKZ Dobrodzień")</f>
        <v>0</v>
      </c>
      <c r="R27" s="104">
        <f>SUMIFS('3 stopień 20_21'!$I$9:$I$765,'3 stopień 20_21'!$G$9:$G$765,D27,'3 stopień 20_21'!$K$9:$K$765,"CKZ Głubczyce")</f>
        <v>0</v>
      </c>
      <c r="S27" s="104">
        <f>SUMIFS('3 stopień 20_21'!$I$9:$I$765,'3 stopień 20_21'!$G$9:$G$765,D27,'3 stopień 20_21'!$K$9:$K$765,"CKZ Kędzierzyn Kożle")</f>
        <v>0</v>
      </c>
      <c r="T27" s="104">
        <f>SUMIFS('3 stopień 20_21'!$I$9:$I$765,'3 stopień 20_21'!$G$9:$G$765,D27,'3 stopień 20_21'!$K$9:$K$765,"CKZ Kluczbork")</f>
        <v>0</v>
      </c>
      <c r="U27" s="104">
        <f>SUMIFS('3 stopień 20_21'!$I$9:$I$765,'3 stopień 20_21'!$G$9:$G$765,D27,'3 stopień 20_21'!$K$9:$K$765,"CKZ Krotoszyn")</f>
        <v>0</v>
      </c>
      <c r="V27" s="104">
        <f>SUMIFS('3 stopień 20_21'!$I$9:$I$765,'3 stopień 20_21'!$G$9:$G$765,D27,'3 stopień 20_21'!$K$9:$K$765,"CKZ Olkusz")</f>
        <v>0</v>
      </c>
      <c r="W27" s="104">
        <f>SUMIFS('3 stopień 20_21'!$I$9:$I$765,'3 stopień 20_21'!$G$9:$G$765,D27,'3 stopień 20_21'!$K$9:$K$765,"CKZ Wschowa")</f>
        <v>0</v>
      </c>
      <c r="X27" s="104">
        <f>SUMIFS('3 stopień 20_21'!$I$9:$I$765,'3 stopień 20_21'!$G$9:$G$765,D27,'3 stopień 20_21'!$K$9:$K$765,"CKZ Zielona Góra")</f>
        <v>0</v>
      </c>
      <c r="Y27" s="104">
        <f>SUMIFS('3 stopień 20_21'!$I$9:$I$765,'3 stopień 20_21'!$G$9:$G$765,D27,'3 stopień 20_21'!$K$9:$K$765,"Rzemieślnicza Wałbrzych")</f>
        <v>0</v>
      </c>
      <c r="Z27" s="104">
        <f>SUMIFS('3 stopień 20_21'!$I$9:$I$765,'3 stopień 20_21'!$G$9:$G$765,D27,'3 stopień 20_21'!$K$9:$K$765,"CKZ Mosina")</f>
        <v>0</v>
      </c>
      <c r="AA27" s="104">
        <f>SUMIFS('3 stopień 20_21'!$I$9:$I$765,'3 stopień 20_21'!$G$9:$G$765,D27,'3 stopień 20_21'!$K$9:$K$765,"CKZ Opole")</f>
        <v>0</v>
      </c>
      <c r="AB27" s="104">
        <f>SUMIFS('3 stopień 20_21'!$I$9:$I$765,'3 stopień 20_21'!$G$9:$G$765,D27,'3 stopień 20_21'!$K$9:$K$765,"")</f>
        <v>0</v>
      </c>
      <c r="AC27" s="105">
        <f t="shared" si="0"/>
        <v>0</v>
      </c>
    </row>
    <row r="28" spans="2:29">
      <c r="B28" s="100" t="s">
        <v>91</v>
      </c>
      <c r="C28" s="101">
        <v>752205</v>
      </c>
      <c r="D28" s="101" t="s">
        <v>204</v>
      </c>
      <c r="E28" s="100" t="s">
        <v>880</v>
      </c>
      <c r="F28" s="103">
        <f>SUMIF('3 stopień 20_21'!G$9:G$750,D28,'3 stopień 20_21'!I$9:I$751)</f>
        <v>51</v>
      </c>
      <c r="G28" s="104">
        <f>SUMIFS('3 stopień 20_21'!$I$9:$I$765,'3 stopień 20_21'!$G$9:$G$765,D28,'3 stopień 20_21'!$K$9:$K$765,"CKZ Bielawa")</f>
        <v>0</v>
      </c>
      <c r="H28" s="104">
        <f>SUMIFS('3 stopień 20_21'!$I$9:$I$765,'3 stopień 20_21'!$G$9:$G$765,D28,'3 stopień 20_21'!$K$9:$K$765,"GCKZ Głogów")</f>
        <v>0</v>
      </c>
      <c r="I28" s="104">
        <f>SUMIFS('3 stopień 20_21'!$I$9:$I$765,'3 stopień 20_21'!$G$9:$G$765,D28,'3 stopień 20_21'!$K$9:$K$765,"CKZ Jawor")</f>
        <v>0</v>
      </c>
      <c r="J28" s="104">
        <f>SUMIFS('3 stopień 20_21'!$I$9:$I$765,'3 stopień 20_21'!$G$9:$G$765,D28,'3 stopień 20_21'!$K$9:$K$765,"JCKZ Jelenia Góra")</f>
        <v>0</v>
      </c>
      <c r="K28" s="104">
        <f>SUMIFS('3 stopień 20_21'!$I$9:$I$765,'3 stopień 20_21'!$G$9:$G$765,D28,'3 stopień 20_21'!$K$9:$K$765,"CKZ Kłodzko")</f>
        <v>0</v>
      </c>
      <c r="L28" s="104">
        <f>SUMIFS('3 stopień 20_21'!$I$9:$I$765,'3 stopień 20_21'!$G$9:$G$765,D28,'3 stopień 20_21'!$K$9:$K$765,"CKZ Legnica")</f>
        <v>0</v>
      </c>
      <c r="M28" s="104">
        <f>SUMIFS('3 stopień 20_21'!$I$9:$I$765,'3 stopień 20_21'!$G$9:$G$765,D28,'3 stopień 20_21'!$K$9:$K$765,"CKZ Oleśnica")</f>
        <v>19</v>
      </c>
      <c r="N28" s="104">
        <f>SUMIFS('3 stopień 20_21'!$I$9:$I$765,'3 stopień 20_21'!$G$9:$G$765,D28,'3 stopień 20_21'!$K$9:$K$765,"CKZ Świdnica")</f>
        <v>20</v>
      </c>
      <c r="O28" s="104">
        <f>SUMIFS('3 stopień 20_21'!$I$9:$I$765,'3 stopień 20_21'!$G$9:$G$765,D28,'3 stopień 20_21'!$K$9:$K$765,"CKZ Wołów")</f>
        <v>10</v>
      </c>
      <c r="P28" s="104">
        <f>SUMIFS('3 stopień 20_21'!$I$9:$I$765,'3 stopień 20_21'!$G$9:$G$765,D28,'3 stopień 20_21'!$K$9:$K$765,"CKZ Ziębice")</f>
        <v>0</v>
      </c>
      <c r="Q28" s="104">
        <f>SUMIFS('3 stopień 20_21'!$I$9:$I$765,'3 stopień 20_21'!$G$9:$G$765,D28,'3 stopień 20_21'!$K$9:$K$765,"CKZ Dobrodzień")</f>
        <v>0</v>
      </c>
      <c r="R28" s="104">
        <f>SUMIFS('3 stopień 20_21'!$I$9:$I$765,'3 stopień 20_21'!$G$9:$G$765,D28,'3 stopień 20_21'!$K$9:$K$765,"CKZ Głubczyce")</f>
        <v>0</v>
      </c>
      <c r="S28" s="104">
        <f>SUMIFS('3 stopień 20_21'!$I$9:$I$765,'3 stopień 20_21'!$G$9:$G$765,D28,'3 stopień 20_21'!$K$9:$K$765,"CKZ Kędzierzyn Kożle")</f>
        <v>0</v>
      </c>
      <c r="T28" s="104">
        <f>SUMIFS('3 stopień 20_21'!$I$9:$I$765,'3 stopień 20_21'!$G$9:$G$765,D28,'3 stopień 20_21'!$K$9:$K$765,"CKZ Kluczbork")</f>
        <v>0</v>
      </c>
      <c r="U28" s="104">
        <f>SUMIFS('3 stopień 20_21'!$I$9:$I$765,'3 stopień 20_21'!$G$9:$G$765,D28,'3 stopień 20_21'!$K$9:$K$765,"CKZ Krotoszyn")</f>
        <v>0</v>
      </c>
      <c r="V28" s="104">
        <f>SUMIFS('3 stopień 20_21'!$I$9:$I$765,'3 stopień 20_21'!$G$9:$G$765,D28,'3 stopień 20_21'!$K$9:$K$765,"CKZ Olkusz")</f>
        <v>0</v>
      </c>
      <c r="W28" s="104">
        <f>SUMIFS('3 stopień 20_21'!$I$9:$I$765,'3 stopień 20_21'!$G$9:$G$765,D28,'3 stopień 20_21'!$K$9:$K$765,"CKZ Wschowa")</f>
        <v>2</v>
      </c>
      <c r="X28" s="104">
        <f>SUMIFS('3 stopień 20_21'!$I$9:$I$765,'3 stopień 20_21'!$G$9:$G$765,D28,'3 stopień 20_21'!$K$9:$K$765,"CKZ Zielona Góra")</f>
        <v>0</v>
      </c>
      <c r="Y28" s="104">
        <f>SUMIFS('3 stopień 20_21'!$I$9:$I$765,'3 stopień 20_21'!$G$9:$G$765,D28,'3 stopień 20_21'!$K$9:$K$765,"Rzemieślnicza Wałbrzych")</f>
        <v>0</v>
      </c>
      <c r="Z28" s="104">
        <f>SUMIFS('3 stopień 20_21'!$I$9:$I$765,'3 stopień 20_21'!$G$9:$G$765,D28,'3 stopień 20_21'!$K$9:$K$765,"CKZ Mosina")</f>
        <v>0</v>
      </c>
      <c r="AA28" s="104">
        <f>SUMIFS('3 stopień 20_21'!$I$9:$I$765,'3 stopień 20_21'!$G$9:$G$765,D28,'3 stopień 20_21'!$K$9:$K$765,"CKZ Opole")</f>
        <v>0</v>
      </c>
      <c r="AB28" s="104">
        <f>SUMIFS('3 stopień 20_21'!$I$9:$I$765,'3 stopień 20_21'!$G$9:$G$765,D28,'3 stopień 20_21'!$K$9:$K$765,"")</f>
        <v>0</v>
      </c>
      <c r="AC28" s="105">
        <f t="shared" si="0"/>
        <v>51</v>
      </c>
    </row>
    <row r="29" spans="2:29">
      <c r="B29" s="100" t="s">
        <v>218</v>
      </c>
      <c r="C29" s="101">
        <v>753402</v>
      </c>
      <c r="D29" s="101" t="s">
        <v>570</v>
      </c>
      <c r="E29" s="100" t="s">
        <v>712</v>
      </c>
      <c r="F29" s="103">
        <f>SUMIF('3 stopień 20_21'!G$9:G$750,D29,'3 stopień 20_21'!I$9:I$751)</f>
        <v>55</v>
      </c>
      <c r="G29" s="104">
        <f>SUMIFS('3 stopień 20_21'!$I$9:$I$765,'3 stopień 20_21'!$G$9:$G$765,D29,'3 stopień 20_21'!$K$9:$K$765,"CKZ Bielawa")</f>
        <v>0</v>
      </c>
      <c r="H29" s="104">
        <f>SUMIFS('3 stopień 20_21'!$I$9:$I$765,'3 stopień 20_21'!$G$9:$G$765,D29,'3 stopień 20_21'!$K$9:$K$765,"GCKZ Głogów")</f>
        <v>0</v>
      </c>
      <c r="I29" s="104">
        <f>SUMIFS('3 stopień 20_21'!$I$9:$I$765,'3 stopień 20_21'!$G$9:$G$765,D29,'3 stopień 20_21'!$K$9:$K$765,"CKZ Jawor")</f>
        <v>0</v>
      </c>
      <c r="J29" s="104">
        <f>SUMIFS('3 stopień 20_21'!$I$9:$I$765,'3 stopień 20_21'!$G$9:$G$765,D29,'3 stopień 20_21'!$K$9:$K$765,"JCKZ Jelenia Góra")</f>
        <v>0</v>
      </c>
      <c r="K29" s="104">
        <f>SUMIFS('3 stopień 20_21'!$I$9:$I$765,'3 stopień 20_21'!$G$9:$G$765,D29,'3 stopień 20_21'!$K$9:$K$765,"CKZ Kłodzko")</f>
        <v>0</v>
      </c>
      <c r="L29" s="104">
        <f>SUMIFS('3 stopień 20_21'!$I$9:$I$765,'3 stopień 20_21'!$G$9:$G$765,D29,'3 stopień 20_21'!$K$9:$K$765,"CKZ Legnica")</f>
        <v>0</v>
      </c>
      <c r="M29" s="104">
        <f>SUMIFS('3 stopień 20_21'!$I$9:$I$765,'3 stopień 20_21'!$G$9:$G$765,D29,'3 stopień 20_21'!$K$9:$K$765,"CKZ Oleśnica")</f>
        <v>51</v>
      </c>
      <c r="N29" s="104">
        <f>SUMIFS('3 stopień 20_21'!$I$9:$I$765,'3 stopień 20_21'!$G$9:$G$765,D29,'3 stopień 20_21'!$K$9:$K$765,"CKZ Świdnica")</f>
        <v>0</v>
      </c>
      <c r="O29" s="104">
        <f>SUMIFS('3 stopień 20_21'!$I$9:$I$765,'3 stopień 20_21'!$G$9:$G$765,D29,'3 stopień 20_21'!$K$9:$K$765,"CKZ Wołów")</f>
        <v>0</v>
      </c>
      <c r="P29" s="104">
        <f>SUMIFS('3 stopień 20_21'!$I$9:$I$765,'3 stopień 20_21'!$G$9:$G$765,D29,'3 stopień 20_21'!$K$9:$K$765,"CKZ Ziębice")</f>
        <v>0</v>
      </c>
      <c r="Q29" s="104">
        <f>SUMIFS('3 stopień 20_21'!$I$9:$I$765,'3 stopień 20_21'!$G$9:$G$765,D29,'3 stopień 20_21'!$K$9:$K$765,"CKZ Dobrodzień")</f>
        <v>3</v>
      </c>
      <c r="R29" s="104">
        <f>SUMIFS('3 stopień 20_21'!$I$9:$I$765,'3 stopień 20_21'!$G$9:$G$765,D29,'3 stopień 20_21'!$K$9:$K$765,"CKZ Głubczyce")</f>
        <v>0</v>
      </c>
      <c r="S29" s="104">
        <f>SUMIFS('3 stopień 20_21'!$I$9:$I$765,'3 stopień 20_21'!$G$9:$G$765,D29,'3 stopień 20_21'!$K$9:$K$765,"CKZ Kędzierzyn Kożle")</f>
        <v>0</v>
      </c>
      <c r="T29" s="104">
        <f>SUMIFS('3 stopień 20_21'!$I$9:$I$765,'3 stopień 20_21'!$G$9:$G$765,D29,'3 stopień 20_21'!$K$9:$K$765,"CKZ Kluczbork")</f>
        <v>0</v>
      </c>
      <c r="U29" s="104">
        <f>SUMIFS('3 stopień 20_21'!$I$9:$I$765,'3 stopień 20_21'!$G$9:$G$765,D29,'3 stopień 20_21'!$K$9:$K$765,"CKZ Krotoszyn")</f>
        <v>0</v>
      </c>
      <c r="V29" s="104">
        <f>SUMIFS('3 stopień 20_21'!$I$9:$I$765,'3 stopień 20_21'!$G$9:$G$765,D29,'3 stopień 20_21'!$K$9:$K$765,"CKZ Olkusz")</f>
        <v>0</v>
      </c>
      <c r="W29" s="104">
        <f>SUMIFS('3 stopień 20_21'!$I$9:$I$765,'3 stopień 20_21'!$G$9:$G$765,D29,'3 stopień 20_21'!$K$9:$K$765,"CKZ Wschowa")</f>
        <v>0</v>
      </c>
      <c r="X29" s="104">
        <f>SUMIFS('3 stopień 20_21'!$I$9:$I$765,'3 stopień 20_21'!$G$9:$G$765,D29,'3 stopień 20_21'!$K$9:$K$765,"CKZ Zielona Góra")</f>
        <v>1</v>
      </c>
      <c r="Y29" s="104">
        <f>SUMIFS('3 stopień 20_21'!$I$9:$I$765,'3 stopień 20_21'!$G$9:$G$765,D29,'3 stopień 20_21'!$K$9:$K$765,"Rzemieślnicza Wałbrzych")</f>
        <v>0</v>
      </c>
      <c r="Z29" s="104">
        <f>SUMIFS('3 stopień 20_21'!$I$9:$I$765,'3 stopień 20_21'!$G$9:$G$765,D29,'3 stopień 20_21'!$K$9:$K$765,"CKZ Mosina")</f>
        <v>0</v>
      </c>
      <c r="AA29" s="104">
        <f>SUMIFS('3 stopień 20_21'!$I$9:$I$765,'3 stopień 20_21'!$G$9:$G$765,D29,'3 stopień 20_21'!$K$9:$K$765,"CKZ Opole")</f>
        <v>0</v>
      </c>
      <c r="AB29" s="104">
        <f>SUMIFS('3 stopień 20_21'!$I$9:$I$765,'3 stopień 20_21'!$G$9:$G$765,D29,'3 stopień 20_21'!$K$9:$K$765,"")</f>
        <v>0</v>
      </c>
      <c r="AC29" s="105">
        <f t="shared" si="0"/>
        <v>55</v>
      </c>
    </row>
    <row r="30" spans="2:29">
      <c r="B30" s="100" t="s">
        <v>239</v>
      </c>
      <c r="C30" s="101">
        <v>741201</v>
      </c>
      <c r="D30" s="101" t="s">
        <v>90</v>
      </c>
      <c r="E30" s="100" t="s">
        <v>714</v>
      </c>
      <c r="F30" s="103">
        <f>SUMIF('3 stopień 20_21'!G$9:G$750,D30,'3 stopień 20_21'!I$9:I$751)</f>
        <v>13</v>
      </c>
      <c r="G30" s="104">
        <f>SUMIFS('3 stopień 20_21'!$I$9:$I$765,'3 stopień 20_21'!$G$9:$G$765,D30,'3 stopień 20_21'!$K$9:$K$765,"CKZ Bielawa")</f>
        <v>0</v>
      </c>
      <c r="H30" s="104">
        <f>SUMIFS('3 stopień 20_21'!$I$9:$I$765,'3 stopień 20_21'!$G$9:$G$765,D30,'3 stopień 20_21'!$K$9:$K$765,"GCKZ Głogów")</f>
        <v>0</v>
      </c>
      <c r="I30" s="104">
        <f>SUMIFS('3 stopień 20_21'!$I$9:$I$765,'3 stopień 20_21'!$G$9:$G$765,D30,'3 stopień 20_21'!$K$9:$K$765,"CKZ Jawor")</f>
        <v>0</v>
      </c>
      <c r="J30" s="104">
        <f>SUMIFS('3 stopień 20_21'!$I$9:$I$765,'3 stopień 20_21'!$G$9:$G$765,D30,'3 stopień 20_21'!$K$9:$K$765,"JCKZ Jelenia Góra")</f>
        <v>0</v>
      </c>
      <c r="K30" s="104">
        <f>SUMIFS('3 stopień 20_21'!$I$9:$I$765,'3 stopień 20_21'!$G$9:$G$765,D30,'3 stopień 20_21'!$K$9:$K$765,"CKZ Kłodzko")</f>
        <v>0</v>
      </c>
      <c r="L30" s="104">
        <f>SUMIFS('3 stopień 20_21'!$I$9:$I$765,'3 stopień 20_21'!$G$9:$G$765,D30,'3 stopień 20_21'!$K$9:$K$765,"CKZ Legnica")</f>
        <v>0</v>
      </c>
      <c r="M30" s="104">
        <f>SUMIFS('3 stopień 20_21'!$I$9:$I$765,'3 stopień 20_21'!$G$9:$G$765,D30,'3 stopień 20_21'!$K$9:$K$765,"CKZ Oleśnica")</f>
        <v>0</v>
      </c>
      <c r="N30" s="104">
        <f>SUMIFS('3 stopień 20_21'!$I$9:$I$765,'3 stopień 20_21'!$G$9:$G$765,D30,'3 stopień 20_21'!$K$9:$K$765,"CKZ Świdnica")</f>
        <v>0</v>
      </c>
      <c r="O30" s="104">
        <f>SUMIFS('3 stopień 20_21'!$I$9:$I$765,'3 stopień 20_21'!$G$9:$G$765,D30,'3 stopień 20_21'!$K$9:$K$765,"CKZ Wołów")</f>
        <v>0</v>
      </c>
      <c r="P30" s="104">
        <f>SUMIFS('3 stopień 20_21'!$I$9:$I$765,'3 stopień 20_21'!$G$9:$G$765,D30,'3 stopień 20_21'!$K$9:$K$765,"CKZ Ziębice")</f>
        <v>0</v>
      </c>
      <c r="Q30" s="104">
        <f>SUMIFS('3 stopień 20_21'!$I$9:$I$765,'3 stopień 20_21'!$G$9:$G$765,D30,'3 stopień 20_21'!$K$9:$K$765,"CKZ Dobrodzień")</f>
        <v>0</v>
      </c>
      <c r="R30" s="104">
        <f>SUMIFS('3 stopień 20_21'!$I$9:$I$765,'3 stopień 20_21'!$G$9:$G$765,D30,'3 stopień 20_21'!$K$9:$K$765,"CKZ Głubczyce")</f>
        <v>0</v>
      </c>
      <c r="S30" s="104">
        <f>SUMIFS('3 stopień 20_21'!$I$9:$I$765,'3 stopień 20_21'!$G$9:$G$765,D30,'3 stopień 20_21'!$K$9:$K$765,"CKZ Kędzierzyn Kożle")</f>
        <v>0</v>
      </c>
      <c r="T30" s="104">
        <f>SUMIFS('3 stopień 20_21'!$I$9:$I$765,'3 stopień 20_21'!$G$9:$G$765,D30,'3 stopień 20_21'!$K$9:$K$765,"CKZ Kluczbork")</f>
        <v>0</v>
      </c>
      <c r="U30" s="104">
        <f>SUMIFS('3 stopień 20_21'!$I$9:$I$765,'3 stopień 20_21'!$G$9:$G$765,D30,'3 stopień 20_21'!$K$9:$K$765,"CKZ Krotoszyn")</f>
        <v>0</v>
      </c>
      <c r="V30" s="104">
        <f>SUMIFS('3 stopień 20_21'!$I$9:$I$765,'3 stopień 20_21'!$G$9:$G$765,D30,'3 stopień 20_21'!$K$9:$K$765,"CKZ Olkusz")</f>
        <v>0</v>
      </c>
      <c r="W30" s="104">
        <f>SUMIFS('3 stopień 20_21'!$I$9:$I$765,'3 stopień 20_21'!$G$9:$G$765,D30,'3 stopień 20_21'!$K$9:$K$765,"CKZ Wschowa")</f>
        <v>13</v>
      </c>
      <c r="X30" s="104">
        <f>SUMIFS('3 stopień 20_21'!$I$9:$I$765,'3 stopień 20_21'!$G$9:$G$765,D30,'3 stopień 20_21'!$K$9:$K$765,"CKZ Zielona Góra")</f>
        <v>0</v>
      </c>
      <c r="Y30" s="104">
        <f>SUMIFS('3 stopień 20_21'!$I$9:$I$765,'3 stopień 20_21'!$G$9:$G$765,D30,'3 stopień 20_21'!$K$9:$K$765,"Rzemieślnicza Wałbrzych")</f>
        <v>0</v>
      </c>
      <c r="Z30" s="104">
        <f>SUMIFS('3 stopień 20_21'!$I$9:$I$765,'3 stopień 20_21'!$G$9:$G$765,D30,'3 stopień 20_21'!$K$9:$K$765,"CKZ Mosina")</f>
        <v>0</v>
      </c>
      <c r="AA30" s="104">
        <f>SUMIFS('3 stopień 20_21'!$I$9:$I$765,'3 stopień 20_21'!$G$9:$G$765,D30,'3 stopień 20_21'!$K$9:$K$765,"CKZ Opole")</f>
        <v>0</v>
      </c>
      <c r="AB30" s="104">
        <f>SUMIFS('3 stopień 20_21'!$I$9:$I$765,'3 stopień 20_21'!$G$9:$G$765,D30,'3 stopień 20_21'!$K$9:$K$765,"")</f>
        <v>0</v>
      </c>
      <c r="AC30" s="105">
        <f t="shared" si="0"/>
        <v>13</v>
      </c>
    </row>
    <row r="31" spans="2:29">
      <c r="B31" s="100" t="s">
        <v>87</v>
      </c>
      <c r="C31" s="101">
        <v>741103</v>
      </c>
      <c r="D31" s="101" t="s">
        <v>205</v>
      </c>
      <c r="E31" s="100" t="s">
        <v>715</v>
      </c>
      <c r="F31" s="103">
        <f>SUMIF('3 stopień 20_21'!G$9:G$750,D31,'3 stopień 20_21'!I$9:I$751)</f>
        <v>69</v>
      </c>
      <c r="G31" s="104">
        <f>SUMIFS('3 stopień 20_21'!$I$9:$I$765,'3 stopień 20_21'!$G$9:$G$765,D31,'3 stopień 20_21'!$K$9:$K$765,"CKZ Bielawa")</f>
        <v>0</v>
      </c>
      <c r="H31" s="104">
        <f>SUMIFS('3 stopień 20_21'!$I$9:$I$765,'3 stopień 20_21'!$G$9:$G$765,D31,'3 stopień 20_21'!$K$9:$K$765,"GCKZ Głogów")</f>
        <v>0</v>
      </c>
      <c r="I31" s="104">
        <f>SUMIFS('3 stopień 20_21'!$I$9:$I$765,'3 stopień 20_21'!$G$9:$G$765,D31,'3 stopień 20_21'!$K$9:$K$765,"CKZ Jawor")</f>
        <v>0</v>
      </c>
      <c r="J31" s="104">
        <f>SUMIFS('3 stopień 20_21'!$I$9:$I$765,'3 stopień 20_21'!$G$9:$G$765,D31,'3 stopień 20_21'!$K$9:$K$765,"JCKZ Jelenia Góra")</f>
        <v>0</v>
      </c>
      <c r="K31" s="104">
        <f>SUMIFS('3 stopień 20_21'!$I$9:$I$765,'3 stopień 20_21'!$G$9:$G$765,D31,'3 stopień 20_21'!$K$9:$K$765,"CKZ Kłodzko")</f>
        <v>0</v>
      </c>
      <c r="L31" s="104">
        <f>SUMIFS('3 stopień 20_21'!$I$9:$I$765,'3 stopień 20_21'!$G$9:$G$765,D31,'3 stopień 20_21'!$K$9:$K$765,"CKZ Legnica")</f>
        <v>0</v>
      </c>
      <c r="M31" s="104">
        <f>SUMIFS('3 stopień 20_21'!$I$9:$I$765,'3 stopień 20_21'!$G$9:$G$765,D31,'3 stopień 20_21'!$K$9:$K$765,"CKZ Oleśnica")</f>
        <v>23</v>
      </c>
      <c r="N31" s="104">
        <f>SUMIFS('3 stopień 20_21'!$I$9:$I$765,'3 stopień 20_21'!$G$9:$G$765,D31,'3 stopień 20_21'!$K$9:$K$765,"CKZ Świdnica")</f>
        <v>32</v>
      </c>
      <c r="O31" s="104">
        <f>SUMIFS('3 stopień 20_21'!$I$9:$I$765,'3 stopień 20_21'!$G$9:$G$765,D31,'3 stopień 20_21'!$K$9:$K$765,"CKZ Wołów")</f>
        <v>0</v>
      </c>
      <c r="P31" s="104">
        <f>SUMIFS('3 stopień 20_21'!$I$9:$I$765,'3 stopień 20_21'!$G$9:$G$765,D31,'3 stopień 20_21'!$K$9:$K$765,"CKZ Ziębice")</f>
        <v>0</v>
      </c>
      <c r="Q31" s="104">
        <f>SUMIFS('3 stopień 20_21'!$I$9:$I$765,'3 stopień 20_21'!$G$9:$G$765,D31,'3 stopień 20_21'!$K$9:$K$765,"CKZ Dobrodzień")</f>
        <v>0</v>
      </c>
      <c r="R31" s="104">
        <f>SUMIFS('3 stopień 20_21'!$I$9:$I$765,'3 stopień 20_21'!$G$9:$G$765,D31,'3 stopień 20_21'!$K$9:$K$765,"CKZ Głubczyce")</f>
        <v>5</v>
      </c>
      <c r="S31" s="104">
        <f>SUMIFS('3 stopień 20_21'!$I$9:$I$765,'3 stopień 20_21'!$G$9:$G$765,D31,'3 stopień 20_21'!$K$9:$K$765,"CKZ Kędzierzyn Kożle")</f>
        <v>0</v>
      </c>
      <c r="T31" s="104">
        <f>SUMIFS('3 stopień 20_21'!$I$9:$I$765,'3 stopień 20_21'!$G$9:$G$765,D31,'3 stopień 20_21'!$K$9:$K$765,"CKZ Kluczbork")</f>
        <v>0</v>
      </c>
      <c r="U31" s="104">
        <f>SUMIFS('3 stopień 20_21'!$I$9:$I$765,'3 stopień 20_21'!$G$9:$G$765,D31,'3 stopień 20_21'!$K$9:$K$765,"CKZ Krotoszyn")</f>
        <v>0</v>
      </c>
      <c r="V31" s="104">
        <f>SUMIFS('3 stopień 20_21'!$I$9:$I$765,'3 stopień 20_21'!$G$9:$G$765,D31,'3 stopień 20_21'!$K$9:$K$765,"CKZ Olkusz")</f>
        <v>0</v>
      </c>
      <c r="W31" s="104">
        <f>SUMIFS('3 stopień 20_21'!$I$9:$I$765,'3 stopień 20_21'!$G$9:$G$765,D31,'3 stopień 20_21'!$K$9:$K$765,"CKZ Wschowa")</f>
        <v>9</v>
      </c>
      <c r="X31" s="104">
        <f>SUMIFS('3 stopień 20_21'!$I$9:$I$765,'3 stopień 20_21'!$G$9:$G$765,D31,'3 stopień 20_21'!$K$9:$K$765,"CKZ Zielona Góra")</f>
        <v>0</v>
      </c>
      <c r="Y31" s="104">
        <f>SUMIFS('3 stopień 20_21'!$I$9:$I$765,'3 stopień 20_21'!$G$9:$G$765,D31,'3 stopień 20_21'!$K$9:$K$765,"Rzemieślnicza Wałbrzych")</f>
        <v>0</v>
      </c>
      <c r="Z31" s="104">
        <f>SUMIFS('3 stopień 20_21'!$I$9:$I$765,'3 stopień 20_21'!$G$9:$G$765,D31,'3 stopień 20_21'!$K$9:$K$765,"CKZ Mosina")</f>
        <v>0</v>
      </c>
      <c r="AA31" s="104">
        <f>SUMIFS('3 stopień 20_21'!$I$9:$I$765,'3 stopień 20_21'!$G$9:$G$765,D31,'3 stopień 20_21'!$K$9:$K$765,"CKZ Opole")</f>
        <v>0</v>
      </c>
      <c r="AB31" s="104">
        <f>SUMIFS('3 stopień 20_21'!$I$9:$I$765,'3 stopień 20_21'!$G$9:$G$765,D31,'3 stopień 20_21'!$K$9:$K$765,"")</f>
        <v>0</v>
      </c>
      <c r="AC31" s="105">
        <f t="shared" si="0"/>
        <v>69</v>
      </c>
    </row>
    <row r="32" spans="2:29">
      <c r="B32" s="100" t="s">
        <v>216</v>
      </c>
      <c r="C32" s="101">
        <v>742117</v>
      </c>
      <c r="D32" s="101" t="s">
        <v>863</v>
      </c>
      <c r="E32" s="100" t="s">
        <v>719</v>
      </c>
      <c r="F32" s="103">
        <f>SUMIF('3 stopień 20_21'!G$9:G$750,D32,'3 stopień 20_21'!I$9:I$751)</f>
        <v>2</v>
      </c>
      <c r="G32" s="104">
        <f>SUMIFS('3 stopień 20_21'!$I$9:$I$765,'3 stopień 20_21'!$G$9:$G$765,D32,'3 stopień 20_21'!$K$9:$K$765,"CKZ Bielawa")</f>
        <v>0</v>
      </c>
      <c r="H32" s="104">
        <f>SUMIFS('3 stopień 20_21'!$I$9:$I$765,'3 stopień 20_21'!$G$9:$G$765,D32,'3 stopień 20_21'!$K$9:$K$765,"GCKZ Głogów")</f>
        <v>0</v>
      </c>
      <c r="I32" s="104">
        <f>SUMIFS('3 stopień 20_21'!$I$9:$I$765,'3 stopień 20_21'!$G$9:$G$765,D32,'3 stopień 20_21'!$K$9:$K$765,"CKZ Jawor")</f>
        <v>0</v>
      </c>
      <c r="J32" s="104">
        <f>SUMIFS('3 stopień 20_21'!$I$9:$I$765,'3 stopień 20_21'!$G$9:$G$765,D32,'3 stopień 20_21'!$K$9:$K$765,"JCKZ Jelenia Góra")</f>
        <v>0</v>
      </c>
      <c r="K32" s="104">
        <f>SUMIFS('3 stopień 20_21'!$I$9:$I$765,'3 stopień 20_21'!$G$9:$G$765,D32,'3 stopień 20_21'!$K$9:$K$765,"CKZ Kłodzko")</f>
        <v>0</v>
      </c>
      <c r="L32" s="104">
        <f>SUMIFS('3 stopień 20_21'!$I$9:$I$765,'3 stopień 20_21'!$G$9:$G$765,D32,'3 stopień 20_21'!$K$9:$K$765,"CKZ Legnica")</f>
        <v>0</v>
      </c>
      <c r="M32" s="104">
        <f>SUMIFS('3 stopień 20_21'!$I$9:$I$765,'3 stopień 20_21'!$G$9:$G$765,D32,'3 stopień 20_21'!$K$9:$K$765,"CKZ Oleśnica")</f>
        <v>0</v>
      </c>
      <c r="N32" s="104">
        <f>SUMIFS('3 stopień 20_21'!$I$9:$I$765,'3 stopień 20_21'!$G$9:$G$765,D32,'3 stopień 20_21'!$K$9:$K$765,"CKZ Świdnica")</f>
        <v>0</v>
      </c>
      <c r="O32" s="104">
        <f>SUMIFS('3 stopień 20_21'!$I$9:$I$765,'3 stopień 20_21'!$G$9:$G$765,D32,'3 stopień 20_21'!$K$9:$K$765,"CKZ Wołów")</f>
        <v>0</v>
      </c>
      <c r="P32" s="104">
        <f>SUMIFS('3 stopień 20_21'!$I$9:$I$765,'3 stopień 20_21'!$G$9:$G$765,D32,'3 stopień 20_21'!$K$9:$K$765,"CKZ Ziębice")</f>
        <v>0</v>
      </c>
      <c r="Q32" s="104">
        <f>SUMIFS('3 stopień 20_21'!$I$9:$I$765,'3 stopień 20_21'!$G$9:$G$765,D32,'3 stopień 20_21'!$K$9:$K$765,"CKZ Dobrodzień")</f>
        <v>0</v>
      </c>
      <c r="R32" s="104">
        <f>SUMIFS('3 stopień 20_21'!$I$9:$I$765,'3 stopień 20_21'!$G$9:$G$765,D32,'3 stopień 20_21'!$K$9:$K$765,"CKZ Głubczyce")</f>
        <v>0</v>
      </c>
      <c r="S32" s="104">
        <f>SUMIFS('3 stopień 20_21'!$I$9:$I$765,'3 stopień 20_21'!$G$9:$G$765,D32,'3 stopień 20_21'!$K$9:$K$765,"CKZ Kędzierzyn Kożle")</f>
        <v>0</v>
      </c>
      <c r="T32" s="104">
        <f>SUMIFS('3 stopień 20_21'!$I$9:$I$765,'3 stopień 20_21'!$G$9:$G$765,D32,'3 stopień 20_21'!$K$9:$K$765,"CKZ Kluczbork")</f>
        <v>0</v>
      </c>
      <c r="U32" s="104">
        <f>SUMIFS('3 stopień 20_21'!$I$9:$I$765,'3 stopień 20_21'!$G$9:$G$765,D32,'3 stopień 20_21'!$K$9:$K$765,"CKZ Krotoszyn")</f>
        <v>0</v>
      </c>
      <c r="V32" s="104">
        <f>SUMIFS('3 stopień 20_21'!$I$9:$I$765,'3 stopień 20_21'!$G$9:$G$765,D32,'3 stopień 20_21'!$K$9:$K$765,"CKZ Olkusz")</f>
        <v>0</v>
      </c>
      <c r="W32" s="104">
        <f>SUMIFS('3 stopień 20_21'!$I$9:$I$765,'3 stopień 20_21'!$G$9:$G$765,D32,'3 stopień 20_21'!$K$9:$K$765,"CKZ Wschowa")</f>
        <v>0</v>
      </c>
      <c r="X32" s="104">
        <f>SUMIFS('3 stopień 20_21'!$I$9:$I$765,'3 stopień 20_21'!$G$9:$G$765,D32,'3 stopień 20_21'!$K$9:$K$765,"CKZ Zielona Góra")</f>
        <v>2</v>
      </c>
      <c r="Y32" s="104">
        <f>SUMIFS('3 stopień 20_21'!$I$9:$I$765,'3 stopień 20_21'!$G$9:$G$765,D32,'3 stopień 20_21'!$K$9:$K$765,"Rzemieślnicza Wałbrzych")</f>
        <v>0</v>
      </c>
      <c r="Z32" s="104">
        <f>SUMIFS('3 stopień 20_21'!$I$9:$I$765,'3 stopień 20_21'!$G$9:$G$765,D32,'3 stopień 20_21'!$K$9:$K$765,"CKZ Mosina")</f>
        <v>0</v>
      </c>
      <c r="AA32" s="104">
        <f>SUMIFS('3 stopień 20_21'!$I$9:$I$765,'3 stopień 20_21'!$G$9:$G$765,D32,'3 stopień 20_21'!$K$9:$K$765,"CKZ Opole")</f>
        <v>0</v>
      </c>
      <c r="AB32" s="104">
        <f>SUMIFS('3 stopień 20_21'!$I$9:$I$765,'3 stopień 20_21'!$G$9:$G$765,D32,'3 stopień 20_21'!$K$9:$K$765,"")</f>
        <v>0</v>
      </c>
      <c r="AC32" s="105">
        <f t="shared" si="0"/>
        <v>2</v>
      </c>
    </row>
    <row r="33" spans="2:29">
      <c r="B33" s="100" t="s">
        <v>611</v>
      </c>
      <c r="C33" s="101">
        <v>742118</v>
      </c>
      <c r="D33" s="102" t="s">
        <v>903</v>
      </c>
      <c r="E33" s="100" t="s">
        <v>721</v>
      </c>
      <c r="F33" s="103">
        <f>SUMIF('3 stopień 20_21'!G$9:G$750,D33,'3 stopień 20_21'!I$9:I$751)</f>
        <v>0</v>
      </c>
      <c r="G33" s="104">
        <f>SUMIFS('3 stopień 20_21'!$I$9:$I$765,'3 stopień 20_21'!$G$9:$G$765,D33,'3 stopień 20_21'!$K$9:$K$765,"CKZ Bielawa")</f>
        <v>0</v>
      </c>
      <c r="H33" s="104">
        <f>SUMIFS('3 stopień 20_21'!$I$9:$I$765,'3 stopień 20_21'!$G$9:$G$765,D33,'3 stopień 20_21'!$K$9:$K$765,"GCKZ Głogów")</f>
        <v>0</v>
      </c>
      <c r="I33" s="104">
        <f>SUMIFS('3 stopień 20_21'!$I$9:$I$765,'3 stopień 20_21'!$G$9:$G$765,D33,'3 stopień 20_21'!$K$9:$K$765,"CKZ Jawor")</f>
        <v>0</v>
      </c>
      <c r="J33" s="104">
        <f>SUMIFS('3 stopień 20_21'!$I$9:$I$765,'3 stopień 20_21'!$G$9:$G$765,D33,'3 stopień 20_21'!$K$9:$K$765,"JCKZ Jelenia Góra")</f>
        <v>0</v>
      </c>
      <c r="K33" s="104">
        <f>SUMIFS('3 stopień 20_21'!$I$9:$I$765,'3 stopień 20_21'!$G$9:$G$765,D33,'3 stopień 20_21'!$K$9:$K$765,"CKZ Kłodzko")</f>
        <v>0</v>
      </c>
      <c r="L33" s="104">
        <f>SUMIFS('3 stopień 20_21'!$I$9:$I$765,'3 stopień 20_21'!$G$9:$G$765,D33,'3 stopień 20_21'!$K$9:$K$765,"CKZ Legnica")</f>
        <v>0</v>
      </c>
      <c r="M33" s="104">
        <f>SUMIFS('3 stopień 20_21'!$I$9:$I$765,'3 stopień 20_21'!$G$9:$G$765,D33,'3 stopień 20_21'!$K$9:$K$765,"CKZ Oleśnica")</f>
        <v>0</v>
      </c>
      <c r="N33" s="104">
        <f>SUMIFS('3 stopień 20_21'!$I$9:$I$765,'3 stopień 20_21'!$G$9:$G$765,D33,'3 stopień 20_21'!$K$9:$K$765,"CKZ Świdnica")</f>
        <v>0</v>
      </c>
      <c r="O33" s="104">
        <f>SUMIFS('3 stopień 20_21'!$I$9:$I$765,'3 stopień 20_21'!$G$9:$G$765,D33,'3 stopień 20_21'!$K$9:$K$765,"CKZ Wołów")</f>
        <v>0</v>
      </c>
      <c r="P33" s="104">
        <f>SUMIFS('3 stopień 20_21'!$I$9:$I$765,'3 stopień 20_21'!$G$9:$G$765,D33,'3 stopień 20_21'!$K$9:$K$765,"CKZ Ziębice")</f>
        <v>0</v>
      </c>
      <c r="Q33" s="104">
        <f>SUMIFS('3 stopień 20_21'!$I$9:$I$765,'3 stopień 20_21'!$G$9:$G$765,D33,'3 stopień 20_21'!$K$9:$K$765,"CKZ Dobrodzień")</f>
        <v>0</v>
      </c>
      <c r="R33" s="104">
        <f>SUMIFS('3 stopień 20_21'!$I$9:$I$765,'3 stopień 20_21'!$G$9:$G$765,D33,'3 stopień 20_21'!$K$9:$K$765,"CKZ Głubczyce")</f>
        <v>0</v>
      </c>
      <c r="S33" s="104">
        <f>SUMIFS('3 stopień 20_21'!$I$9:$I$765,'3 stopień 20_21'!$G$9:$G$765,D33,'3 stopień 20_21'!$K$9:$K$765,"CKZ Kędzierzyn Kożle")</f>
        <v>0</v>
      </c>
      <c r="T33" s="104">
        <f>SUMIFS('3 stopień 20_21'!$I$9:$I$765,'3 stopień 20_21'!$G$9:$G$765,D33,'3 stopień 20_21'!$K$9:$K$765,"CKZ Kluczbork")</f>
        <v>0</v>
      </c>
      <c r="U33" s="104">
        <f>SUMIFS('3 stopień 20_21'!$I$9:$I$765,'3 stopień 20_21'!$G$9:$G$765,D33,'3 stopień 20_21'!$K$9:$K$765,"CKZ Krotoszyn")</f>
        <v>0</v>
      </c>
      <c r="V33" s="104">
        <f>SUMIFS('3 stopień 20_21'!$I$9:$I$765,'3 stopień 20_21'!$G$9:$G$765,D33,'3 stopień 20_21'!$K$9:$K$765,"CKZ Olkusz")</f>
        <v>0</v>
      </c>
      <c r="W33" s="104">
        <f>SUMIFS('3 stopień 20_21'!$I$9:$I$765,'3 stopień 20_21'!$G$9:$G$765,D33,'3 stopień 20_21'!$K$9:$K$765,"CKZ Wschowa")</f>
        <v>0</v>
      </c>
      <c r="X33" s="104">
        <f>SUMIFS('3 stopień 20_21'!$I$9:$I$765,'3 stopień 20_21'!$G$9:$G$765,D33,'3 stopień 20_21'!$K$9:$K$765,"CKZ Zielona Góra")</f>
        <v>0</v>
      </c>
      <c r="Y33" s="104">
        <f>SUMIFS('3 stopień 20_21'!$I$9:$I$765,'3 stopień 20_21'!$G$9:$G$765,D33,'3 stopień 20_21'!$K$9:$K$765,"Rzemieślnicza Wałbrzych")</f>
        <v>0</v>
      </c>
      <c r="Z33" s="104">
        <f>SUMIFS('3 stopień 20_21'!$I$9:$I$765,'3 stopień 20_21'!$G$9:$G$765,D33,'3 stopień 20_21'!$K$9:$K$765,"CKZ Mosina")</f>
        <v>0</v>
      </c>
      <c r="AA33" s="104">
        <f>SUMIFS('3 stopień 20_21'!$I$9:$I$765,'3 stopień 20_21'!$G$9:$G$765,D33,'3 stopień 20_21'!$K$9:$K$765,"CKZ Opole")</f>
        <v>0</v>
      </c>
      <c r="AB33" s="104">
        <f>SUMIFS('3 stopień 20_21'!$I$9:$I$765,'3 stopień 20_21'!$G$9:$G$765,D33,'3 stopień 20_21'!$K$9:$K$765,"")</f>
        <v>0</v>
      </c>
      <c r="AC33" s="105">
        <f t="shared" si="0"/>
        <v>0</v>
      </c>
    </row>
    <row r="34" spans="2:29">
      <c r="B34" s="100" t="s">
        <v>114</v>
      </c>
      <c r="C34" s="101">
        <v>514101</v>
      </c>
      <c r="D34" s="101" t="s">
        <v>197</v>
      </c>
      <c r="E34" s="100" t="s">
        <v>881</v>
      </c>
      <c r="F34" s="103">
        <f>SUMIF('3 stopień 20_21'!G$9:G$750,D34,'3 stopień 20_21'!I$9:I$751)</f>
        <v>242</v>
      </c>
      <c r="G34" s="104">
        <f>SUMIFS('3 stopień 20_21'!$I$9:$I$765,'3 stopień 20_21'!$G$9:$G$765,D34,'3 stopień 20_21'!$K$9:$K$765,"CKZ Bielawa")</f>
        <v>17</v>
      </c>
      <c r="H34" s="104">
        <f>SUMIFS('3 stopień 20_21'!$I$9:$I$765,'3 stopień 20_21'!$G$9:$G$765,D34,'3 stopień 20_21'!$K$9:$K$765,"GCKZ Głogów")</f>
        <v>0</v>
      </c>
      <c r="I34" s="104">
        <f>SUMIFS('3 stopień 20_21'!$I$9:$I$765,'3 stopień 20_21'!$G$9:$G$765,D34,'3 stopień 20_21'!$K$9:$K$765,"CKZ Jawor")</f>
        <v>0</v>
      </c>
      <c r="J34" s="104">
        <f>SUMIFS('3 stopień 20_21'!$I$9:$I$765,'3 stopień 20_21'!$G$9:$G$765,D34,'3 stopień 20_21'!$K$9:$K$765,"JCKZ Jelenia Góra")</f>
        <v>14</v>
      </c>
      <c r="K34" s="104">
        <f>SUMIFS('3 stopień 20_21'!$I$9:$I$765,'3 stopień 20_21'!$G$9:$G$765,D34,'3 stopień 20_21'!$K$9:$K$765,"CKZ Kłodzko")</f>
        <v>13</v>
      </c>
      <c r="L34" s="104">
        <f>SUMIFS('3 stopień 20_21'!$I$9:$I$765,'3 stopień 20_21'!$G$9:$G$765,D34,'3 stopień 20_21'!$K$9:$K$765,"CKZ Legnica")</f>
        <v>80</v>
      </c>
      <c r="M34" s="104">
        <f>SUMIFS('3 stopień 20_21'!$I$9:$I$765,'3 stopień 20_21'!$G$9:$G$765,D34,'3 stopień 20_21'!$K$9:$K$765,"CKZ Oleśnica")</f>
        <v>63</v>
      </c>
      <c r="N34" s="104">
        <f>SUMIFS('3 stopień 20_21'!$I$9:$I$765,'3 stopień 20_21'!$G$9:$G$765,D34,'3 stopień 20_21'!$K$9:$K$765,"CKZ Świdnica")</f>
        <v>27</v>
      </c>
      <c r="O34" s="104">
        <f>SUMIFS('3 stopień 20_21'!$I$9:$I$765,'3 stopień 20_21'!$G$9:$G$765,D34,'3 stopień 20_21'!$K$9:$K$765,"CKZ Wołów")</f>
        <v>0</v>
      </c>
      <c r="P34" s="104">
        <f>SUMIFS('3 stopień 20_21'!$I$9:$I$765,'3 stopień 20_21'!$G$9:$G$765,D34,'3 stopień 20_21'!$K$9:$K$765,"CKZ Ziębice")</f>
        <v>14</v>
      </c>
      <c r="Q34" s="104">
        <f>SUMIFS('3 stopień 20_21'!$I$9:$I$765,'3 stopień 20_21'!$G$9:$G$765,D34,'3 stopień 20_21'!$K$9:$K$765,"CKZ Dobrodzień")</f>
        <v>0</v>
      </c>
      <c r="R34" s="104">
        <f>SUMIFS('3 stopień 20_21'!$I$9:$I$765,'3 stopień 20_21'!$G$9:$G$765,D34,'3 stopień 20_21'!$K$9:$K$765,"CKZ Głubczyce")</f>
        <v>0</v>
      </c>
      <c r="S34" s="104">
        <f>SUMIFS('3 stopień 20_21'!$I$9:$I$765,'3 stopień 20_21'!$G$9:$G$765,D34,'3 stopień 20_21'!$K$9:$K$765,"CKZ Kędzierzyn Kożle")</f>
        <v>0</v>
      </c>
      <c r="T34" s="104">
        <f>SUMIFS('3 stopień 20_21'!$I$9:$I$765,'3 stopień 20_21'!$G$9:$G$765,D34,'3 stopień 20_21'!$K$9:$K$765,"CKZ Kluczbork")</f>
        <v>0</v>
      </c>
      <c r="U34" s="104">
        <f>SUMIFS('3 stopień 20_21'!$I$9:$I$765,'3 stopień 20_21'!$G$9:$G$765,D34,'3 stopień 20_21'!$K$9:$K$765,"CKZ Krotoszyn")</f>
        <v>0</v>
      </c>
      <c r="V34" s="104">
        <f>SUMIFS('3 stopień 20_21'!$I$9:$I$765,'3 stopień 20_21'!$G$9:$G$765,D34,'3 stopień 20_21'!$K$9:$K$765,"CKZ Olkusz")</f>
        <v>0</v>
      </c>
      <c r="W34" s="104">
        <f>SUMIFS('3 stopień 20_21'!$I$9:$I$765,'3 stopień 20_21'!$G$9:$G$765,D34,'3 stopień 20_21'!$K$9:$K$765,"CKZ Wschowa")</f>
        <v>12</v>
      </c>
      <c r="X34" s="104">
        <f>SUMIFS('3 stopień 20_21'!$I$9:$I$765,'3 stopień 20_21'!$G$9:$G$765,D34,'3 stopień 20_21'!$K$9:$K$765,"CKZ Zielona Góra")</f>
        <v>0</v>
      </c>
      <c r="Y34" s="104">
        <f>SUMIFS('3 stopień 20_21'!$I$9:$I$765,'3 stopień 20_21'!$G$9:$G$765,D34,'3 stopień 20_21'!$K$9:$K$765,"Rzemieślnicza Wałbrzych")</f>
        <v>0</v>
      </c>
      <c r="Z34" s="104">
        <f>SUMIFS('3 stopień 20_21'!$I$9:$I$765,'3 stopień 20_21'!$G$9:$G$765,D34,'3 stopień 20_21'!$K$9:$K$765,"CKZ Mosina")</f>
        <v>0</v>
      </c>
      <c r="AA34" s="104">
        <f>SUMIFS('3 stopień 20_21'!$I$9:$I$765,'3 stopień 20_21'!$G$9:$G$765,D34,'3 stopień 20_21'!$K$9:$K$765,"CKZ Opole")</f>
        <v>2</v>
      </c>
      <c r="AB34" s="104">
        <f>SUMIFS('3 stopień 20_21'!$I$9:$I$765,'3 stopień 20_21'!$G$9:$G$765,D34,'3 stopień 20_21'!$K$9:$K$765,"")</f>
        <v>0</v>
      </c>
      <c r="AC34" s="105">
        <f t="shared" si="0"/>
        <v>242</v>
      </c>
    </row>
    <row r="35" spans="2:29" ht="15.75" customHeight="1">
      <c r="B35" s="100" t="s">
        <v>79</v>
      </c>
      <c r="C35" s="101">
        <v>522301</v>
      </c>
      <c r="D35" s="101" t="s">
        <v>200</v>
      </c>
      <c r="E35" s="100" t="s">
        <v>741</v>
      </c>
      <c r="F35" s="103">
        <f>SUMIF('3 stopień 20_21'!G$9:G$750,D35,'3 stopień 20_21'!I$9:I$751)</f>
        <v>192</v>
      </c>
      <c r="G35" s="104">
        <f>SUMIFS('3 stopień 20_21'!$I$9:$I$765,'3 stopień 20_21'!$G$9:$G$765,D35,'3 stopień 20_21'!$K$9:$K$765,"CKZ Bielawa")</f>
        <v>0</v>
      </c>
      <c r="H35" s="104">
        <f>SUMIFS('3 stopień 20_21'!$I$9:$I$765,'3 stopień 20_21'!$G$9:$G$765,D35,'3 stopień 20_21'!$K$9:$K$765,"GCKZ Głogów")</f>
        <v>0</v>
      </c>
      <c r="I35" s="104">
        <f>SUMIFS('3 stopień 20_21'!$I$9:$I$765,'3 stopień 20_21'!$G$9:$G$765,D35,'3 stopień 20_21'!$K$9:$K$765,"CKZ Jawor")</f>
        <v>0</v>
      </c>
      <c r="J35" s="104">
        <f>SUMIFS('3 stopień 20_21'!$I$9:$I$765,'3 stopień 20_21'!$G$9:$G$765,D35,'3 stopień 20_21'!$K$9:$K$765,"JCKZ Jelenia Góra")</f>
        <v>12</v>
      </c>
      <c r="K35" s="104">
        <f>SUMIFS('3 stopień 20_21'!$I$9:$I$765,'3 stopień 20_21'!$G$9:$G$765,D35,'3 stopień 20_21'!$K$9:$K$765,"CKZ Kłodzko")</f>
        <v>11</v>
      </c>
      <c r="L35" s="104">
        <f>SUMIFS('3 stopień 20_21'!$I$9:$I$765,'3 stopień 20_21'!$G$9:$G$765,D35,'3 stopień 20_21'!$K$9:$K$765,"CKZ Legnica")</f>
        <v>71</v>
      </c>
      <c r="M35" s="104">
        <f>SUMIFS('3 stopień 20_21'!$I$9:$I$765,'3 stopień 20_21'!$G$9:$G$765,D35,'3 stopień 20_21'!$K$9:$K$765,"CKZ Oleśnica")</f>
        <v>39</v>
      </c>
      <c r="N35" s="104">
        <f>SUMIFS('3 stopień 20_21'!$I$9:$I$765,'3 stopień 20_21'!$G$9:$G$765,D35,'3 stopień 20_21'!$K$9:$K$765,"CKZ Świdnica")</f>
        <v>18</v>
      </c>
      <c r="O35" s="104">
        <f>SUMIFS('3 stopień 20_21'!$I$9:$I$765,'3 stopień 20_21'!$G$9:$G$765,D35,'3 stopień 20_21'!$K$9:$K$765,"CKZ Wołów")</f>
        <v>23</v>
      </c>
      <c r="P35" s="104">
        <f>SUMIFS('3 stopień 20_21'!$I$9:$I$765,'3 stopień 20_21'!$G$9:$G$765,D35,'3 stopień 20_21'!$K$9:$K$765,"CKZ Ziębice")</f>
        <v>9</v>
      </c>
      <c r="Q35" s="104">
        <f>SUMIFS('3 stopień 20_21'!$I$9:$I$765,'3 stopień 20_21'!$G$9:$G$765,D35,'3 stopień 20_21'!$K$9:$K$765,"CKZ Dobrodzień")</f>
        <v>0</v>
      </c>
      <c r="R35" s="104">
        <f>SUMIFS('3 stopień 20_21'!$I$9:$I$765,'3 stopień 20_21'!$G$9:$G$765,D35,'3 stopień 20_21'!$K$9:$K$765,"CKZ Głubczyce")</f>
        <v>0</v>
      </c>
      <c r="S35" s="104">
        <f>SUMIFS('3 stopień 20_21'!$I$9:$I$765,'3 stopień 20_21'!$G$9:$G$765,D35,'3 stopień 20_21'!$K$9:$K$765,"CKZ Kędzierzyn Kożle")</f>
        <v>0</v>
      </c>
      <c r="T35" s="104">
        <f>SUMIFS('3 stopień 20_21'!$I$9:$I$765,'3 stopień 20_21'!$G$9:$G$765,D35,'3 stopień 20_21'!$K$9:$K$765,"CKZ Kluczbork")</f>
        <v>0</v>
      </c>
      <c r="U35" s="104">
        <f>SUMIFS('3 stopień 20_21'!$I$9:$I$765,'3 stopień 20_21'!$G$9:$G$765,D35,'3 stopień 20_21'!$K$9:$K$765,"CKZ Krotoszyn")</f>
        <v>0</v>
      </c>
      <c r="V35" s="104">
        <f>SUMIFS('3 stopień 20_21'!$I$9:$I$765,'3 stopień 20_21'!$G$9:$G$765,D35,'3 stopień 20_21'!$K$9:$K$765,"CKZ Olkusz")</f>
        <v>0</v>
      </c>
      <c r="W35" s="104">
        <f>SUMIFS('3 stopień 20_21'!$I$9:$I$765,'3 stopień 20_21'!$G$9:$G$765,D35,'3 stopień 20_21'!$K$9:$K$765,"CKZ Wschowa")</f>
        <v>0</v>
      </c>
      <c r="X35" s="104">
        <f>SUMIFS('3 stopień 20_21'!$I$9:$I$765,'3 stopień 20_21'!$G$9:$G$765,D35,'3 stopień 20_21'!$K$9:$K$765,"CKZ Zielona Góra")</f>
        <v>0</v>
      </c>
      <c r="Y35" s="104">
        <f>SUMIFS('3 stopień 20_21'!$I$9:$I$765,'3 stopień 20_21'!$G$9:$G$765,D35,'3 stopień 20_21'!$K$9:$K$765,"Rzemieślnicza Wałbrzych")</f>
        <v>9</v>
      </c>
      <c r="Z35" s="104">
        <f>SUMIFS('3 stopień 20_21'!$I$9:$I$765,'3 stopień 20_21'!$G$9:$G$765,D35,'3 stopień 20_21'!$K$9:$K$765,"CKZ Mosina")</f>
        <v>0</v>
      </c>
      <c r="AA35" s="104">
        <f>SUMIFS('3 stopień 20_21'!$I$9:$I$765,'3 stopień 20_21'!$G$9:$G$765,D35,'3 stopień 20_21'!$K$9:$K$765,"CKZ Opole")</f>
        <v>0</v>
      </c>
      <c r="AB35" s="104">
        <f>SUMIFS('3 stopień 20_21'!$I$9:$I$765,'3 stopień 20_21'!$G$9:$G$765,D35,'3 stopień 20_21'!$K$9:$K$765,"")</f>
        <v>0</v>
      </c>
      <c r="AC35" s="105">
        <f t="shared" si="0"/>
        <v>192</v>
      </c>
    </row>
    <row r="36" spans="2:29">
      <c r="B36" s="100" t="s">
        <v>619</v>
      </c>
      <c r="C36" s="101">
        <v>513101</v>
      </c>
      <c r="D36" s="101" t="s">
        <v>882</v>
      </c>
      <c r="E36" s="100" t="s">
        <v>739</v>
      </c>
      <c r="F36" s="103">
        <f>SUMIF('3 stopień 20_21'!G$9:G$750,D36,'3 stopień 20_21'!I$9:I$751)</f>
        <v>0</v>
      </c>
      <c r="G36" s="104">
        <f>SUMIFS('3 stopień 20_21'!$I$9:$I$765,'3 stopień 20_21'!$G$9:$G$765,D36,'3 stopień 20_21'!$K$9:$K$765,"CKZ Bielawa")</f>
        <v>0</v>
      </c>
      <c r="H36" s="104">
        <f>SUMIFS('3 stopień 20_21'!$I$9:$I$765,'3 stopień 20_21'!$G$9:$G$765,D36,'3 stopień 20_21'!$K$9:$K$765,"GCKZ Głogów")</f>
        <v>0</v>
      </c>
      <c r="I36" s="104">
        <f>SUMIFS('3 stopień 20_21'!$I$9:$I$765,'3 stopień 20_21'!$G$9:$G$765,D36,'3 stopień 20_21'!$K$9:$K$765,"CKZ Jawor")</f>
        <v>0</v>
      </c>
      <c r="J36" s="104">
        <f>SUMIFS('3 stopień 20_21'!$I$9:$I$765,'3 stopień 20_21'!$G$9:$G$765,D36,'3 stopień 20_21'!$K$9:$K$765,"JCKZ Jelenia Góra")</f>
        <v>0</v>
      </c>
      <c r="K36" s="104">
        <f>SUMIFS('3 stopień 20_21'!$I$9:$I$765,'3 stopień 20_21'!$G$9:$G$765,D36,'3 stopień 20_21'!$K$9:$K$765,"CKZ Kłodzko")</f>
        <v>0</v>
      </c>
      <c r="L36" s="104">
        <f>SUMIFS('3 stopień 20_21'!$I$9:$I$765,'3 stopień 20_21'!$G$9:$G$765,D36,'3 stopień 20_21'!$K$9:$K$765,"CKZ Legnica")</f>
        <v>0</v>
      </c>
      <c r="M36" s="104">
        <f>SUMIFS('3 stopień 20_21'!$I$9:$I$765,'3 stopień 20_21'!$G$9:$G$765,D36,'3 stopień 20_21'!$K$9:$K$765,"CKZ Oleśnica")</f>
        <v>0</v>
      </c>
      <c r="N36" s="104">
        <f>SUMIFS('3 stopień 20_21'!$I$9:$I$765,'3 stopień 20_21'!$G$9:$G$765,D36,'3 stopień 20_21'!$K$9:$K$765,"CKZ Świdnica")</f>
        <v>0</v>
      </c>
      <c r="O36" s="104">
        <f>SUMIFS('3 stopień 20_21'!$I$9:$I$765,'3 stopień 20_21'!$G$9:$G$765,D36,'3 stopień 20_21'!$K$9:$K$765,"CKZ Wołów")</f>
        <v>0</v>
      </c>
      <c r="P36" s="104">
        <f>SUMIFS('3 stopień 20_21'!$I$9:$I$765,'3 stopień 20_21'!$G$9:$G$765,D36,'3 stopień 20_21'!$K$9:$K$765,"CKZ Ziębice")</f>
        <v>0</v>
      </c>
      <c r="Q36" s="104">
        <f>SUMIFS('3 stopień 20_21'!$I$9:$I$765,'3 stopień 20_21'!$G$9:$G$765,D36,'3 stopień 20_21'!$K$9:$K$765,"CKZ Dobrodzień")</f>
        <v>0</v>
      </c>
      <c r="R36" s="104">
        <f>SUMIFS('3 stopień 20_21'!$I$9:$I$765,'3 stopień 20_21'!$G$9:$G$765,D36,'3 stopień 20_21'!$K$9:$K$765,"CKZ Głubczyce")</f>
        <v>0</v>
      </c>
      <c r="S36" s="104">
        <f>SUMIFS('3 stopień 20_21'!$I$9:$I$765,'3 stopień 20_21'!$G$9:$G$765,D36,'3 stopień 20_21'!$K$9:$K$765,"CKZ Kędzierzyn Kożle")</f>
        <v>0</v>
      </c>
      <c r="T36" s="104">
        <f>SUMIFS('3 stopień 20_21'!$I$9:$I$765,'3 stopień 20_21'!$G$9:$G$765,D36,'3 stopień 20_21'!$K$9:$K$765,"CKZ Kluczbork")</f>
        <v>0</v>
      </c>
      <c r="U36" s="104">
        <f>SUMIFS('3 stopień 20_21'!$I$9:$I$765,'3 stopień 20_21'!$G$9:$G$765,D36,'3 stopień 20_21'!$K$9:$K$765,"CKZ Krotoszyn")</f>
        <v>0</v>
      </c>
      <c r="V36" s="104">
        <f>SUMIFS('3 stopień 20_21'!$I$9:$I$765,'3 stopień 20_21'!$G$9:$G$765,D36,'3 stopień 20_21'!$K$9:$K$765,"CKZ Olkusz")</f>
        <v>0</v>
      </c>
      <c r="W36" s="104">
        <f>SUMIFS('3 stopień 20_21'!$I$9:$I$765,'3 stopień 20_21'!$G$9:$G$765,D36,'3 stopień 20_21'!$K$9:$K$765,"CKZ Wschowa")</f>
        <v>0</v>
      </c>
      <c r="X36" s="104">
        <f>SUMIFS('3 stopień 20_21'!$I$9:$I$765,'3 stopień 20_21'!$G$9:$G$765,D36,'3 stopień 20_21'!$K$9:$K$765,"CKZ Zielona Góra")</f>
        <v>0</v>
      </c>
      <c r="Y36" s="104">
        <f>SUMIFS('3 stopień 20_21'!$I$9:$I$765,'3 stopień 20_21'!$G$9:$G$765,D36,'3 stopień 20_21'!$K$9:$K$765,"Rzemieślnicza Wałbrzych")</f>
        <v>0</v>
      </c>
      <c r="Z36" s="104">
        <f>SUMIFS('3 stopień 20_21'!$I$9:$I$765,'3 stopień 20_21'!$G$9:$G$765,D36,'3 stopień 20_21'!$K$9:$K$765,"CKZ Mosina")</f>
        <v>0</v>
      </c>
      <c r="AA36" s="104">
        <f>SUMIFS('3 stopień 20_21'!$I$9:$I$765,'3 stopień 20_21'!$G$9:$G$765,D36,'3 stopień 20_21'!$K$9:$K$765,"CKZ Opole")</f>
        <v>0</v>
      </c>
      <c r="AB36" s="104">
        <f>SUMIFS('3 stopień 20_21'!$I$9:$I$765,'3 stopień 20_21'!$G$9:$G$765,D36,'3 stopień 20_21'!$K$9:$K$765,"")</f>
        <v>0</v>
      </c>
      <c r="AC36" s="105">
        <f t="shared" si="0"/>
        <v>0</v>
      </c>
    </row>
    <row r="37" spans="2:29">
      <c r="B37" s="100" t="s">
        <v>80</v>
      </c>
      <c r="C37" s="101">
        <v>512001</v>
      </c>
      <c r="D37" s="101" t="s">
        <v>203</v>
      </c>
      <c r="E37" s="100" t="s">
        <v>883</v>
      </c>
      <c r="F37" s="103">
        <f>SUMIF('3 stopień 20_21'!G$9:G$750,D37,'3 stopień 20_21'!I$9:I$751)</f>
        <v>135</v>
      </c>
      <c r="G37" s="104">
        <f>SUMIFS('3 stopień 20_21'!$I$9:$I$765,'3 stopień 20_21'!$G$9:$G$765,D37,'3 stopień 20_21'!$K$9:$K$765,"CKZ Bielawa")</f>
        <v>0</v>
      </c>
      <c r="H37" s="104">
        <f>SUMIFS('3 stopień 20_21'!$I$9:$I$765,'3 stopień 20_21'!$G$9:$G$765,D37,'3 stopień 20_21'!$K$9:$K$765,"GCKZ Głogów")</f>
        <v>0</v>
      </c>
      <c r="I37" s="104">
        <f>SUMIFS('3 stopień 20_21'!$I$9:$I$765,'3 stopień 20_21'!$G$9:$G$765,D37,'3 stopień 20_21'!$K$9:$K$765,"CKZ Jawor")</f>
        <v>0</v>
      </c>
      <c r="J37" s="104">
        <f>SUMIFS('3 stopień 20_21'!$I$9:$I$765,'3 stopień 20_21'!$G$9:$G$765,D37,'3 stopień 20_21'!$K$9:$K$765,"JCKZ Jelenia Góra")</f>
        <v>9</v>
      </c>
      <c r="K37" s="104">
        <f>SUMIFS('3 stopień 20_21'!$I$9:$I$765,'3 stopień 20_21'!$G$9:$G$765,D37,'3 stopień 20_21'!$K$9:$K$765,"CKZ Kłodzko")</f>
        <v>24</v>
      </c>
      <c r="L37" s="104">
        <f>SUMIFS('3 stopień 20_21'!$I$9:$I$765,'3 stopień 20_21'!$G$9:$G$765,D37,'3 stopień 20_21'!$K$9:$K$765,"CKZ Legnica")</f>
        <v>46</v>
      </c>
      <c r="M37" s="104">
        <f>SUMIFS('3 stopień 20_21'!$I$9:$I$765,'3 stopień 20_21'!$G$9:$G$765,D37,'3 stopień 20_21'!$K$9:$K$765,"CKZ Oleśnica")</f>
        <v>17</v>
      </c>
      <c r="N37" s="104">
        <f>SUMIFS('3 stopień 20_21'!$I$9:$I$765,'3 stopień 20_21'!$G$9:$G$765,D37,'3 stopień 20_21'!$K$9:$K$765,"CKZ Świdnica")</f>
        <v>17</v>
      </c>
      <c r="O37" s="104">
        <f>SUMIFS('3 stopień 20_21'!$I$9:$I$765,'3 stopień 20_21'!$G$9:$G$765,D37,'3 stopień 20_21'!$K$9:$K$765,"CKZ Wołów")</f>
        <v>13</v>
      </c>
      <c r="P37" s="104">
        <f>SUMIFS('3 stopień 20_21'!$I$9:$I$765,'3 stopień 20_21'!$G$9:$G$765,D37,'3 stopień 20_21'!$K$9:$K$765,"CKZ Ziębice")</f>
        <v>7</v>
      </c>
      <c r="Q37" s="104">
        <f>SUMIFS('3 stopień 20_21'!$I$9:$I$765,'3 stopień 20_21'!$G$9:$G$765,D37,'3 stopień 20_21'!$K$9:$K$765,"CKZ Dobrodzień")</f>
        <v>0</v>
      </c>
      <c r="R37" s="104">
        <f>SUMIFS('3 stopień 20_21'!$I$9:$I$765,'3 stopień 20_21'!$G$9:$G$765,D37,'3 stopień 20_21'!$K$9:$K$765,"CKZ Głubczyce")</f>
        <v>0</v>
      </c>
      <c r="S37" s="104">
        <f>SUMIFS('3 stopień 20_21'!$I$9:$I$765,'3 stopień 20_21'!$G$9:$G$765,D37,'3 stopień 20_21'!$K$9:$K$765,"CKZ Kędzierzyn Kożle")</f>
        <v>0</v>
      </c>
      <c r="T37" s="104">
        <f>SUMIFS('3 stopień 20_21'!$I$9:$I$765,'3 stopień 20_21'!$G$9:$G$765,D37,'3 stopień 20_21'!$K$9:$K$765,"CKZ Kluczbork")</f>
        <v>0</v>
      </c>
      <c r="U37" s="104">
        <f>SUMIFS('3 stopień 20_21'!$I$9:$I$765,'3 stopień 20_21'!$G$9:$G$765,D37,'3 stopień 20_21'!$K$9:$K$765,"CKZ Krotoszyn")</f>
        <v>0</v>
      </c>
      <c r="V37" s="104">
        <f>SUMIFS('3 stopień 20_21'!$I$9:$I$765,'3 stopień 20_21'!$G$9:$G$765,D37,'3 stopień 20_21'!$K$9:$K$765,"CKZ Olkusz")</f>
        <v>0</v>
      </c>
      <c r="W37" s="104">
        <f>SUMIFS('3 stopień 20_21'!$I$9:$I$765,'3 stopień 20_21'!$G$9:$G$765,D37,'3 stopień 20_21'!$K$9:$K$765,"CKZ Wschowa")</f>
        <v>1</v>
      </c>
      <c r="X37" s="104">
        <f>SUMIFS('3 stopień 20_21'!$I$9:$I$765,'3 stopień 20_21'!$G$9:$G$765,D37,'3 stopień 20_21'!$K$9:$K$765,"CKZ Zielona Góra")</f>
        <v>0</v>
      </c>
      <c r="Y37" s="104">
        <f>SUMIFS('3 stopień 20_21'!$I$9:$I$765,'3 stopień 20_21'!$G$9:$G$765,D37,'3 stopień 20_21'!$K$9:$K$765,"Rzemieślnicza Wałbrzych")</f>
        <v>0</v>
      </c>
      <c r="Z37" s="104">
        <f>SUMIFS('3 stopień 20_21'!$I$9:$I$765,'3 stopień 20_21'!$G$9:$G$765,D37,'3 stopień 20_21'!$K$9:$K$765,"CKZ Mosina")</f>
        <v>0</v>
      </c>
      <c r="AA37" s="104">
        <f>SUMIFS('3 stopień 20_21'!$I$9:$I$765,'3 stopień 20_21'!$G$9:$G$765,D37,'3 stopień 20_21'!$K$9:$K$765,"CKZ Opole")</f>
        <v>1</v>
      </c>
      <c r="AB37" s="104">
        <f>SUMIFS('3 stopień 20_21'!$I$9:$I$765,'3 stopień 20_21'!$G$9:$G$765,D37,'3 stopień 20_21'!$K$9:$K$765,"")</f>
        <v>0</v>
      </c>
      <c r="AC37" s="105">
        <f t="shared" si="0"/>
        <v>135</v>
      </c>
    </row>
    <row r="38" spans="2:29">
      <c r="B38" s="100" t="s">
        <v>245</v>
      </c>
      <c r="C38" s="101">
        <v>911205</v>
      </c>
      <c r="D38" s="101" t="s">
        <v>246</v>
      </c>
      <c r="E38" s="100" t="s">
        <v>748</v>
      </c>
      <c r="F38" s="103">
        <f>SUMIF('3 stopień 20_21'!G$9:G$750,D38,'3 stopień 20_21'!I$9:I$751)</f>
        <v>1</v>
      </c>
      <c r="G38" s="104">
        <f>SUMIFS('3 stopień 20_21'!$I$9:$I$765,'3 stopień 20_21'!$G$9:$G$765,D38,'3 stopień 20_21'!$K$9:$K$765,"CKZ Bielawa")</f>
        <v>0</v>
      </c>
      <c r="H38" s="104">
        <f>SUMIFS('3 stopień 20_21'!$I$9:$I$765,'3 stopień 20_21'!$G$9:$G$765,D38,'3 stopień 20_21'!$K$9:$K$765,"GCKZ Głogów")</f>
        <v>0</v>
      </c>
      <c r="I38" s="104">
        <f>SUMIFS('3 stopień 20_21'!$I$9:$I$765,'3 stopień 20_21'!$G$9:$G$765,D38,'3 stopień 20_21'!$K$9:$K$765,"CKZ Jawor")</f>
        <v>0</v>
      </c>
      <c r="J38" s="104">
        <f>SUMIFS('3 stopień 20_21'!$I$9:$I$765,'3 stopień 20_21'!$G$9:$G$765,D38,'3 stopień 20_21'!$K$9:$K$765,"JCKZ Jelenia Góra")</f>
        <v>0</v>
      </c>
      <c r="K38" s="104">
        <f>SUMIFS('3 stopień 20_21'!$I$9:$I$765,'3 stopień 20_21'!$G$9:$G$765,D38,'3 stopień 20_21'!$K$9:$K$765,"CKZ Kłodzko")</f>
        <v>0</v>
      </c>
      <c r="L38" s="104">
        <f>SUMIFS('3 stopień 20_21'!$I$9:$I$765,'3 stopień 20_21'!$G$9:$G$765,D38,'3 stopień 20_21'!$K$9:$K$765,"CKZ Legnica")</f>
        <v>0</v>
      </c>
      <c r="M38" s="104">
        <f>SUMIFS('3 stopień 20_21'!$I$9:$I$765,'3 stopień 20_21'!$G$9:$G$765,D38,'3 stopień 20_21'!$K$9:$K$765,"CKZ Oleśnica")</f>
        <v>0</v>
      </c>
      <c r="N38" s="104">
        <f>SUMIFS('3 stopień 20_21'!$I$9:$I$765,'3 stopień 20_21'!$G$9:$G$765,D38,'3 stopień 20_21'!$K$9:$K$765,"CKZ Świdnica")</f>
        <v>0</v>
      </c>
      <c r="O38" s="104">
        <f>SUMIFS('3 stopień 20_21'!$I$9:$I$765,'3 stopień 20_21'!$G$9:$G$765,D38,'3 stopień 20_21'!$K$9:$K$765,"CKZ Wołów")</f>
        <v>0</v>
      </c>
      <c r="P38" s="104">
        <f>SUMIFS('3 stopień 20_21'!$I$9:$I$765,'3 stopień 20_21'!$G$9:$G$765,D38,'3 stopień 20_21'!$K$9:$K$765,"CKZ Ziębice")</f>
        <v>0</v>
      </c>
      <c r="Q38" s="104">
        <f>SUMIFS('3 stopień 20_21'!$I$9:$I$765,'3 stopień 20_21'!$G$9:$G$765,D38,'3 stopień 20_21'!$K$9:$K$765,"CKZ Dobrodzień")</f>
        <v>0</v>
      </c>
      <c r="R38" s="104">
        <f>SUMIFS('3 stopień 20_21'!$I$9:$I$765,'3 stopień 20_21'!$G$9:$G$765,D38,'3 stopień 20_21'!$K$9:$K$765,"CKZ Głubczyce")</f>
        <v>0</v>
      </c>
      <c r="S38" s="104">
        <f>SUMIFS('3 stopień 20_21'!$I$9:$I$765,'3 stopień 20_21'!$G$9:$G$765,D38,'3 stopień 20_21'!$K$9:$K$765,"CKZ Kędzierzyn Kożle")</f>
        <v>0</v>
      </c>
      <c r="T38" s="104">
        <f>SUMIFS('3 stopień 20_21'!$I$9:$I$765,'3 stopień 20_21'!$G$9:$G$765,D38,'3 stopień 20_21'!$K$9:$K$765,"CKZ Kluczbork")</f>
        <v>0</v>
      </c>
      <c r="U38" s="104">
        <f>SUMIFS('3 stopień 20_21'!$I$9:$I$765,'3 stopień 20_21'!$G$9:$G$765,D38,'3 stopień 20_21'!$K$9:$K$765,"CKZ Krotoszyn")</f>
        <v>0</v>
      </c>
      <c r="V38" s="104">
        <f>SUMIFS('3 stopień 20_21'!$I$9:$I$765,'3 stopień 20_21'!$G$9:$G$765,D38,'3 stopień 20_21'!$K$9:$K$765,"CKZ Olkusz")</f>
        <v>0</v>
      </c>
      <c r="W38" s="104">
        <f>SUMIFS('3 stopień 20_21'!$I$9:$I$765,'3 stopień 20_21'!$G$9:$G$765,D38,'3 stopień 20_21'!$K$9:$K$765,"CKZ Wschowa")</f>
        <v>0</v>
      </c>
      <c r="X38" s="104">
        <f>SUMIFS('3 stopień 20_21'!$I$9:$I$765,'3 stopień 20_21'!$G$9:$G$765,D38,'3 stopień 20_21'!$K$9:$K$765,"CKZ Zielona Góra")</f>
        <v>1</v>
      </c>
      <c r="Y38" s="104">
        <f>SUMIFS('3 stopień 20_21'!$I$9:$I$765,'3 stopień 20_21'!$G$9:$G$765,D38,'3 stopień 20_21'!$K$9:$K$765,"Rzemieślnicza Wałbrzych")</f>
        <v>0</v>
      </c>
      <c r="Z38" s="104">
        <f>SUMIFS('3 stopień 20_21'!$I$9:$I$765,'3 stopień 20_21'!$G$9:$G$765,D38,'3 stopień 20_21'!$K$9:$K$765,"CKZ Mosina")</f>
        <v>0</v>
      </c>
      <c r="AA38" s="104">
        <f>SUMIFS('3 stopień 20_21'!$I$9:$I$765,'3 stopień 20_21'!$G$9:$G$765,D38,'3 stopień 20_21'!$K$9:$K$765,"CKZ Opole")</f>
        <v>0</v>
      </c>
      <c r="AB38" s="104">
        <f>SUMIFS('3 stopień 20_21'!$I$9:$I$765,'3 stopień 20_21'!$G$9:$G$765,D38,'3 stopień 20_21'!$K$9:$K$765,"")</f>
        <v>0</v>
      </c>
      <c r="AC38" s="105">
        <f t="shared" si="0"/>
        <v>1</v>
      </c>
    </row>
    <row r="39" spans="2:29">
      <c r="B39" s="100" t="s">
        <v>622</v>
      </c>
      <c r="C39" s="101">
        <v>834105</v>
      </c>
      <c r="D39" s="102" t="s">
        <v>911</v>
      </c>
      <c r="E39" s="100" t="s">
        <v>912</v>
      </c>
      <c r="F39" s="103">
        <f>SUMIF('3 stopień 20_21'!G$9:G$750,D39,'3 stopień 20_21'!I$9:I$751)</f>
        <v>0</v>
      </c>
      <c r="G39" s="104">
        <f>SUMIFS('3 stopień 20_21'!$I$9:$I$765,'3 stopień 20_21'!$G$9:$G$765,D39,'3 stopień 20_21'!$K$9:$K$765,"CKZ Bielawa")</f>
        <v>0</v>
      </c>
      <c r="H39" s="104">
        <f>SUMIFS('3 stopień 20_21'!$I$9:$I$765,'3 stopień 20_21'!$G$9:$G$765,D39,'3 stopień 20_21'!$K$9:$K$765,"GCKZ Głogów")</f>
        <v>0</v>
      </c>
      <c r="I39" s="104">
        <f>SUMIFS('3 stopień 20_21'!$I$9:$I$765,'3 stopień 20_21'!$G$9:$G$765,D39,'3 stopień 20_21'!$K$9:$K$765,"CKZ Jawor")</f>
        <v>0</v>
      </c>
      <c r="J39" s="104">
        <f>SUMIFS('3 stopień 20_21'!$I$9:$I$765,'3 stopień 20_21'!$G$9:$G$765,D39,'3 stopień 20_21'!$K$9:$K$765,"JCKZ Jelenia Góra")</f>
        <v>0</v>
      </c>
      <c r="K39" s="104">
        <f>SUMIFS('3 stopień 20_21'!$I$9:$I$765,'3 stopień 20_21'!$G$9:$G$765,D39,'3 stopień 20_21'!$K$9:$K$765,"CKZ Kłodzko")</f>
        <v>0</v>
      </c>
      <c r="L39" s="104">
        <f>SUMIFS('3 stopień 20_21'!$I$9:$I$765,'3 stopień 20_21'!$G$9:$G$765,D39,'3 stopień 20_21'!$K$9:$K$765,"CKZ Legnica")</f>
        <v>0</v>
      </c>
      <c r="M39" s="104">
        <f>SUMIFS('3 stopień 20_21'!$I$9:$I$765,'3 stopień 20_21'!$G$9:$G$765,D39,'3 stopień 20_21'!$K$9:$K$765,"CKZ Oleśnica")</f>
        <v>0</v>
      </c>
      <c r="N39" s="104">
        <f>SUMIFS('3 stopień 20_21'!$I$9:$I$765,'3 stopień 20_21'!$G$9:$G$765,D39,'3 stopień 20_21'!$K$9:$K$765,"CKZ Świdnica")</f>
        <v>0</v>
      </c>
      <c r="O39" s="104">
        <f>SUMIFS('3 stopień 20_21'!$I$9:$I$765,'3 stopień 20_21'!$G$9:$G$765,D39,'3 stopień 20_21'!$K$9:$K$765,"CKZ Wołów")</f>
        <v>0</v>
      </c>
      <c r="P39" s="104">
        <f>SUMIFS('3 stopień 20_21'!$I$9:$I$765,'3 stopień 20_21'!$G$9:$G$765,D39,'3 stopień 20_21'!$K$9:$K$765,"CKZ Ziębice")</f>
        <v>0</v>
      </c>
      <c r="Q39" s="104">
        <f>SUMIFS('3 stopień 20_21'!$I$9:$I$765,'3 stopień 20_21'!$G$9:$G$765,D39,'3 stopień 20_21'!$K$9:$K$765,"CKZ Dobrodzień")</f>
        <v>0</v>
      </c>
      <c r="R39" s="104">
        <f>SUMIFS('3 stopień 20_21'!$I$9:$I$765,'3 stopień 20_21'!$G$9:$G$765,D39,'3 stopień 20_21'!$K$9:$K$765,"CKZ Głubczyce")</f>
        <v>0</v>
      </c>
      <c r="S39" s="104">
        <f>SUMIFS('3 stopień 20_21'!$I$9:$I$765,'3 stopień 20_21'!$G$9:$G$765,D39,'3 stopień 20_21'!$K$9:$K$765,"CKZ Kędzierzyn Kożle")</f>
        <v>0</v>
      </c>
      <c r="T39" s="104">
        <f>SUMIFS('3 stopień 20_21'!$I$9:$I$765,'3 stopień 20_21'!$G$9:$G$765,D39,'3 stopień 20_21'!$K$9:$K$765,"CKZ Kluczbork")</f>
        <v>0</v>
      </c>
      <c r="U39" s="104">
        <f>SUMIFS('3 stopień 20_21'!$I$9:$I$765,'3 stopień 20_21'!$G$9:$G$765,D39,'3 stopień 20_21'!$K$9:$K$765,"CKZ Krotoszyn")</f>
        <v>0</v>
      </c>
      <c r="V39" s="104">
        <f>SUMIFS('3 stopień 20_21'!$I$9:$I$765,'3 stopień 20_21'!$G$9:$G$765,D39,'3 stopień 20_21'!$K$9:$K$765,"CKZ Olkusz")</f>
        <v>0</v>
      </c>
      <c r="W39" s="104">
        <f>SUMIFS('3 stopień 20_21'!$I$9:$I$765,'3 stopień 20_21'!$G$9:$G$765,D39,'3 stopień 20_21'!$K$9:$K$765,"CKZ Wschowa")</f>
        <v>0</v>
      </c>
      <c r="X39" s="104">
        <f>SUMIFS('3 stopień 20_21'!$I$9:$I$765,'3 stopień 20_21'!$G$9:$G$765,D39,'3 stopień 20_21'!$K$9:$K$765,"CKZ Zielona Góra")</f>
        <v>0</v>
      </c>
      <c r="Y39" s="104">
        <f>SUMIFS('3 stopień 20_21'!$I$9:$I$765,'3 stopień 20_21'!$G$9:$G$765,D39,'3 stopień 20_21'!$K$9:$K$765,"Rzemieślnicza Wałbrzych")</f>
        <v>0</v>
      </c>
      <c r="Z39" s="104">
        <f>SUMIFS('3 stopień 20_21'!$I$9:$I$765,'3 stopień 20_21'!$G$9:$G$765,D39,'3 stopień 20_21'!$K$9:$K$765,"CKZ Mosina")</f>
        <v>0</v>
      </c>
      <c r="AA39" s="104">
        <f>SUMIFS('3 stopień 20_21'!$I$9:$I$765,'3 stopień 20_21'!$G$9:$G$765,D39,'3 stopień 20_21'!$K$9:$K$765,"CKZ Opole")</f>
        <v>0</v>
      </c>
      <c r="AB39" s="104">
        <f>SUMIFS('3 stopień 20_21'!$I$9:$I$765,'3 stopień 20_21'!$G$9:$G$765,D39,'3 stopień 20_21'!$K$9:$K$765,"")</f>
        <v>0</v>
      </c>
      <c r="AC39" s="105">
        <f t="shared" si="0"/>
        <v>0</v>
      </c>
    </row>
    <row r="40" spans="2:29">
      <c r="B40" s="100" t="s">
        <v>248</v>
      </c>
      <c r="C40" s="101">
        <v>721301</v>
      </c>
      <c r="D40" s="102" t="s">
        <v>913</v>
      </c>
      <c r="E40" s="100" t="s">
        <v>914</v>
      </c>
      <c r="F40" s="103">
        <f>SUMIF('3 stopień 20_21'!G$9:G$750,D40,'3 stopień 20_21'!I$9:I$751)</f>
        <v>1</v>
      </c>
      <c r="G40" s="104">
        <f>SUMIFS('3 stopień 20_21'!$I$9:$I$765,'3 stopień 20_21'!$G$9:$G$765,D40,'3 stopień 20_21'!$K$9:$K$765,"CKZ Bielawa")</f>
        <v>0</v>
      </c>
      <c r="H40" s="104">
        <f>SUMIFS('3 stopień 20_21'!$I$9:$I$765,'3 stopień 20_21'!$G$9:$G$765,D40,'3 stopień 20_21'!$K$9:$K$765,"GCKZ Głogów")</f>
        <v>0</v>
      </c>
      <c r="I40" s="104">
        <f>SUMIFS('3 stopień 20_21'!$I$9:$I$765,'3 stopień 20_21'!$G$9:$G$765,D40,'3 stopień 20_21'!$K$9:$K$765,"CKZ Jawor")</f>
        <v>0</v>
      </c>
      <c r="J40" s="104">
        <f>SUMIFS('3 stopień 20_21'!$I$9:$I$765,'3 stopień 20_21'!$G$9:$G$765,D40,'3 stopień 20_21'!$K$9:$K$765,"JCKZ Jelenia Góra")</f>
        <v>0</v>
      </c>
      <c r="K40" s="104">
        <f>SUMIFS('3 stopień 20_21'!$I$9:$I$765,'3 stopień 20_21'!$G$9:$G$765,D40,'3 stopień 20_21'!$K$9:$K$765,"CKZ Kłodzko")</f>
        <v>0</v>
      </c>
      <c r="L40" s="104">
        <f>SUMIFS('3 stopień 20_21'!$I$9:$I$765,'3 stopień 20_21'!$G$9:$G$765,D40,'3 stopień 20_21'!$K$9:$K$765,"CKZ Legnica")</f>
        <v>0</v>
      </c>
      <c r="M40" s="104">
        <f>SUMIFS('3 stopień 20_21'!$I$9:$I$765,'3 stopień 20_21'!$G$9:$G$765,D40,'3 stopień 20_21'!$K$9:$K$765,"CKZ Oleśnica")</f>
        <v>0</v>
      </c>
      <c r="N40" s="104">
        <f>SUMIFS('3 stopień 20_21'!$I$9:$I$765,'3 stopień 20_21'!$G$9:$G$765,D40,'3 stopień 20_21'!$K$9:$K$765,"CKZ Świdnica")</f>
        <v>0</v>
      </c>
      <c r="O40" s="104">
        <f>SUMIFS('3 stopień 20_21'!$I$9:$I$765,'3 stopień 20_21'!$G$9:$G$765,D40,'3 stopień 20_21'!$K$9:$K$765,"CKZ Wołów")</f>
        <v>0</v>
      </c>
      <c r="P40" s="104">
        <f>SUMIFS('3 stopień 20_21'!$I$9:$I$765,'3 stopień 20_21'!$G$9:$G$765,D40,'3 stopień 20_21'!$K$9:$K$765,"CKZ Ziębice")</f>
        <v>0</v>
      </c>
      <c r="Q40" s="104">
        <f>SUMIFS('3 stopień 20_21'!$I$9:$I$765,'3 stopień 20_21'!$G$9:$G$765,D40,'3 stopień 20_21'!$K$9:$K$765,"CKZ Dobrodzień")</f>
        <v>0</v>
      </c>
      <c r="R40" s="104">
        <f>SUMIFS('3 stopień 20_21'!$I$9:$I$765,'3 stopień 20_21'!$G$9:$G$765,D40,'3 stopień 20_21'!$K$9:$K$765,"CKZ Głubczyce")</f>
        <v>0</v>
      </c>
      <c r="S40" s="104">
        <f>SUMIFS('3 stopień 20_21'!$I$9:$I$765,'3 stopień 20_21'!$G$9:$G$765,D40,'3 stopień 20_21'!$K$9:$K$765,"CKZ Kędzierzyn Kożle")</f>
        <v>0</v>
      </c>
      <c r="T40" s="104">
        <f>SUMIFS('3 stopień 20_21'!$I$9:$I$765,'3 stopień 20_21'!$G$9:$G$765,D40,'3 stopień 20_21'!$K$9:$K$765,"CKZ Kluczbork")</f>
        <v>0</v>
      </c>
      <c r="U40" s="104">
        <f>SUMIFS('3 stopień 20_21'!$I$9:$I$765,'3 stopień 20_21'!$G$9:$G$765,D40,'3 stopień 20_21'!$K$9:$K$765,"CKZ Krotoszyn")</f>
        <v>0</v>
      </c>
      <c r="V40" s="104">
        <f>SUMIFS('3 stopień 20_21'!$I$9:$I$765,'3 stopień 20_21'!$G$9:$G$765,D40,'3 stopień 20_21'!$K$9:$K$765,"CKZ Olkusz")</f>
        <v>0</v>
      </c>
      <c r="W40" s="104">
        <f>SUMIFS('3 stopień 20_21'!$I$9:$I$765,'3 stopień 20_21'!$G$9:$G$765,D40,'3 stopień 20_21'!$K$9:$K$765,"CKZ Wschowa")</f>
        <v>1</v>
      </c>
      <c r="X40" s="104">
        <f>SUMIFS('3 stopień 20_21'!$I$9:$I$765,'3 stopień 20_21'!$G$9:$G$765,D40,'3 stopień 20_21'!$K$9:$K$765,"CKZ Zielona Góra")</f>
        <v>0</v>
      </c>
      <c r="Y40" s="104">
        <f>SUMIFS('3 stopień 20_21'!$I$9:$I$765,'3 stopień 20_21'!$G$9:$G$765,D40,'3 stopień 20_21'!$K$9:$K$765,"Rzemieślnicza Wałbrzych")</f>
        <v>0</v>
      </c>
      <c r="Z40" s="104">
        <f>SUMIFS('3 stopień 20_21'!$I$9:$I$765,'3 stopień 20_21'!$G$9:$G$765,D40,'3 stopień 20_21'!$K$9:$K$765,"CKZ Mosina")</f>
        <v>0</v>
      </c>
      <c r="AA40" s="104">
        <f>SUMIFS('3 stopień 20_21'!$I$9:$I$765,'3 stopień 20_21'!$G$9:$G$765,D40,'3 stopień 20_21'!$K$9:$K$765,"CKZ Opole")</f>
        <v>0</v>
      </c>
      <c r="AB40" s="104">
        <f>SUMIFS('3 stopień 20_21'!$I$9:$I$765,'3 stopień 20_21'!$G$9:$G$765,D40,'3 stopień 20_21'!$K$9:$K$765,"")</f>
        <v>0</v>
      </c>
      <c r="AC40" s="105">
        <f t="shared" si="0"/>
        <v>1</v>
      </c>
    </row>
    <row r="41" spans="2:29">
      <c r="B41" s="100" t="s">
        <v>623</v>
      </c>
      <c r="C41" s="101">
        <v>722101</v>
      </c>
      <c r="D41" s="101" t="s">
        <v>884</v>
      </c>
      <c r="E41" s="100" t="s">
        <v>754</v>
      </c>
      <c r="F41" s="103">
        <f>SUMIF('3 stopień 20_21'!G$9:G$750,D41,'3 stopień 20_21'!I$9:I$751)</f>
        <v>0</v>
      </c>
      <c r="G41" s="104">
        <f>SUMIFS('3 stopień 20_21'!$I$9:$I$765,'3 stopień 20_21'!$G$9:$G$765,D41,'3 stopień 20_21'!$K$9:$K$765,"CKZ Bielawa")</f>
        <v>0</v>
      </c>
      <c r="H41" s="104">
        <f>SUMIFS('3 stopień 20_21'!$I$9:$I$765,'3 stopień 20_21'!$G$9:$G$765,D41,'3 stopień 20_21'!$K$9:$K$765,"GCKZ Głogów")</f>
        <v>0</v>
      </c>
      <c r="I41" s="104">
        <f>SUMIFS('3 stopień 20_21'!$I$9:$I$765,'3 stopień 20_21'!$G$9:$G$765,D41,'3 stopień 20_21'!$K$9:$K$765,"CKZ Jawor")</f>
        <v>0</v>
      </c>
      <c r="J41" s="104">
        <f>SUMIFS('3 stopień 20_21'!$I$9:$I$765,'3 stopień 20_21'!$G$9:$G$765,D41,'3 stopień 20_21'!$K$9:$K$765,"JCKZ Jelenia Góra")</f>
        <v>0</v>
      </c>
      <c r="K41" s="104">
        <f>SUMIFS('3 stopień 20_21'!$I$9:$I$765,'3 stopień 20_21'!$G$9:$G$765,D41,'3 stopień 20_21'!$K$9:$K$765,"CKZ Kłodzko")</f>
        <v>0</v>
      </c>
      <c r="L41" s="104">
        <f>SUMIFS('3 stopień 20_21'!$I$9:$I$765,'3 stopień 20_21'!$G$9:$G$765,D41,'3 stopień 20_21'!$K$9:$K$765,"CKZ Legnica")</f>
        <v>0</v>
      </c>
      <c r="M41" s="104">
        <f>SUMIFS('3 stopień 20_21'!$I$9:$I$765,'3 stopień 20_21'!$G$9:$G$765,D41,'3 stopień 20_21'!$K$9:$K$765,"CKZ Oleśnica")</f>
        <v>0</v>
      </c>
      <c r="N41" s="104">
        <f>SUMIFS('3 stopień 20_21'!$I$9:$I$765,'3 stopień 20_21'!$G$9:$G$765,D41,'3 stopień 20_21'!$K$9:$K$765,"CKZ Świdnica")</f>
        <v>0</v>
      </c>
      <c r="O41" s="104">
        <f>SUMIFS('3 stopień 20_21'!$I$9:$I$765,'3 stopień 20_21'!$G$9:$G$765,D41,'3 stopień 20_21'!$K$9:$K$765,"CKZ Wołów")</f>
        <v>0</v>
      </c>
      <c r="P41" s="104">
        <f>SUMIFS('3 stopień 20_21'!$I$9:$I$765,'3 stopień 20_21'!$G$9:$G$765,D41,'3 stopień 20_21'!$K$9:$K$765,"CKZ Ziębice")</f>
        <v>0</v>
      </c>
      <c r="Q41" s="104">
        <f>SUMIFS('3 stopień 20_21'!$I$9:$I$765,'3 stopień 20_21'!$G$9:$G$765,D41,'3 stopień 20_21'!$K$9:$K$765,"CKZ Dobrodzień")</f>
        <v>0</v>
      </c>
      <c r="R41" s="104">
        <f>SUMIFS('3 stopień 20_21'!$I$9:$I$765,'3 stopień 20_21'!$G$9:$G$765,D41,'3 stopień 20_21'!$K$9:$K$765,"CKZ Głubczyce")</f>
        <v>0</v>
      </c>
      <c r="S41" s="104">
        <f>SUMIFS('3 stopień 20_21'!$I$9:$I$765,'3 stopień 20_21'!$G$9:$G$765,D41,'3 stopień 20_21'!$K$9:$K$765,"CKZ Kędzierzyn Kożle")</f>
        <v>0</v>
      </c>
      <c r="T41" s="104">
        <f>SUMIFS('3 stopień 20_21'!$I$9:$I$765,'3 stopień 20_21'!$G$9:$G$765,D41,'3 stopień 20_21'!$K$9:$K$765,"CKZ Kluczbork")</f>
        <v>0</v>
      </c>
      <c r="U41" s="104">
        <f>SUMIFS('3 stopień 20_21'!$I$9:$I$765,'3 stopień 20_21'!$G$9:$G$765,D41,'3 stopień 20_21'!$K$9:$K$765,"CKZ Krotoszyn")</f>
        <v>0</v>
      </c>
      <c r="V41" s="104">
        <f>SUMIFS('3 stopień 20_21'!$I$9:$I$765,'3 stopień 20_21'!$G$9:$G$765,D41,'3 stopień 20_21'!$K$9:$K$765,"CKZ Olkusz")</f>
        <v>0</v>
      </c>
      <c r="W41" s="104">
        <f>SUMIFS('3 stopień 20_21'!$I$9:$I$765,'3 stopień 20_21'!$G$9:$G$765,D41,'3 stopień 20_21'!$K$9:$K$765,"CKZ Wschowa")</f>
        <v>0</v>
      </c>
      <c r="X41" s="104">
        <f>SUMIFS('3 stopień 20_21'!$I$9:$I$765,'3 stopień 20_21'!$G$9:$G$765,D41,'3 stopień 20_21'!$K$9:$K$765,"CKZ Zielona Góra")</f>
        <v>0</v>
      </c>
      <c r="Y41" s="104">
        <f>SUMIFS('3 stopień 20_21'!$I$9:$I$765,'3 stopień 20_21'!$G$9:$G$765,D41,'3 stopień 20_21'!$K$9:$K$765,"Rzemieślnicza Wałbrzych")</f>
        <v>0</v>
      </c>
      <c r="Z41" s="104">
        <f>SUMIFS('3 stopień 20_21'!$I$9:$I$765,'3 stopień 20_21'!$G$9:$G$765,D41,'3 stopień 20_21'!$K$9:$K$765,"CKZ Mosina")</f>
        <v>0</v>
      </c>
      <c r="AA41" s="104">
        <f>SUMIFS('3 stopień 20_21'!$I$9:$I$765,'3 stopień 20_21'!$G$9:$G$765,D41,'3 stopień 20_21'!$K$9:$K$765,"CKZ Opole")</f>
        <v>0</v>
      </c>
      <c r="AB41" s="104">
        <f>SUMIFS('3 stopień 20_21'!$I$9:$I$765,'3 stopień 20_21'!$G$9:$G$765,D41,'3 stopień 20_21'!$K$9:$K$765,"")</f>
        <v>0</v>
      </c>
      <c r="AC41" s="105">
        <f t="shared" si="0"/>
        <v>0</v>
      </c>
    </row>
    <row r="42" spans="2:29" ht="15.75" customHeight="1">
      <c r="B42" s="100" t="s">
        <v>624</v>
      </c>
      <c r="C42" s="101">
        <v>723310</v>
      </c>
      <c r="D42" s="101" t="s">
        <v>864</v>
      </c>
      <c r="E42" s="100" t="s">
        <v>756</v>
      </c>
      <c r="F42" s="103">
        <f>SUMIF('3 stopień 20_21'!G$9:G$750,D42,'3 stopień 20_21'!I$9:I$751)</f>
        <v>4</v>
      </c>
      <c r="G42" s="104">
        <f>SUMIFS('3 stopień 20_21'!$I$9:$I$765,'3 stopień 20_21'!$G$9:$G$765,D42,'3 stopień 20_21'!$K$9:$K$765,"CKZ Bielawa")</f>
        <v>0</v>
      </c>
      <c r="H42" s="104">
        <f>SUMIFS('3 stopień 20_21'!$I$9:$I$765,'3 stopień 20_21'!$G$9:$G$765,D42,'3 stopień 20_21'!$K$9:$K$765,"GCKZ Głogów")</f>
        <v>0</v>
      </c>
      <c r="I42" s="104">
        <f>SUMIFS('3 stopień 20_21'!$I$9:$I$765,'3 stopień 20_21'!$G$9:$G$765,D42,'3 stopień 20_21'!$K$9:$K$765,"CKZ Jawor")</f>
        <v>0</v>
      </c>
      <c r="J42" s="104">
        <f>SUMIFS('3 stopień 20_21'!$I$9:$I$765,'3 stopień 20_21'!$G$9:$G$765,D42,'3 stopień 20_21'!$K$9:$K$765,"JCKZ Jelenia Góra")</f>
        <v>0</v>
      </c>
      <c r="K42" s="104">
        <f>SUMIFS('3 stopień 20_21'!$I$9:$I$765,'3 stopień 20_21'!$G$9:$G$765,D42,'3 stopień 20_21'!$K$9:$K$765,"CKZ Kłodzko")</f>
        <v>0</v>
      </c>
      <c r="L42" s="104">
        <f>SUMIFS('3 stopień 20_21'!$I$9:$I$765,'3 stopień 20_21'!$G$9:$G$765,D42,'3 stopień 20_21'!$K$9:$K$765,"CKZ Legnica")</f>
        <v>0</v>
      </c>
      <c r="M42" s="104">
        <f>SUMIFS('3 stopień 20_21'!$I$9:$I$765,'3 stopień 20_21'!$G$9:$G$765,D42,'3 stopień 20_21'!$K$9:$K$765,"CKZ Oleśnica")</f>
        <v>0</v>
      </c>
      <c r="N42" s="104">
        <f>SUMIFS('3 stopień 20_21'!$I$9:$I$765,'3 stopień 20_21'!$G$9:$G$765,D42,'3 stopień 20_21'!$K$9:$K$765,"CKZ Świdnica")</f>
        <v>0</v>
      </c>
      <c r="O42" s="104">
        <f>SUMIFS('3 stopień 20_21'!$I$9:$I$765,'3 stopień 20_21'!$G$9:$G$765,D42,'3 stopień 20_21'!$K$9:$K$765,"CKZ Wołów")</f>
        <v>0</v>
      </c>
      <c r="P42" s="104">
        <f>SUMIFS('3 stopień 20_21'!$I$9:$I$765,'3 stopień 20_21'!$G$9:$G$765,D42,'3 stopień 20_21'!$K$9:$K$765,"CKZ Ziębice")</f>
        <v>0</v>
      </c>
      <c r="Q42" s="104">
        <f>SUMIFS('3 stopień 20_21'!$I$9:$I$765,'3 stopień 20_21'!$G$9:$G$765,D42,'3 stopień 20_21'!$K$9:$K$765,"CKZ Dobrodzień")</f>
        <v>0</v>
      </c>
      <c r="R42" s="104">
        <f>SUMIFS('3 stopień 20_21'!$I$9:$I$765,'3 stopień 20_21'!$G$9:$G$765,D42,'3 stopień 20_21'!$K$9:$K$765,"CKZ Głubczyce")</f>
        <v>0</v>
      </c>
      <c r="S42" s="104">
        <f>SUMIFS('3 stopień 20_21'!$I$9:$I$765,'3 stopień 20_21'!$G$9:$G$765,D42,'3 stopień 20_21'!$K$9:$K$765,"CKZ Kędzierzyn Kożle")</f>
        <v>0</v>
      </c>
      <c r="T42" s="104">
        <f>SUMIFS('3 stopień 20_21'!$I$9:$I$765,'3 stopień 20_21'!$G$9:$G$765,D42,'3 stopień 20_21'!$K$9:$K$765,"CKZ Kluczbork")</f>
        <v>0</v>
      </c>
      <c r="U42" s="104">
        <f>SUMIFS('3 stopień 20_21'!$I$9:$I$765,'3 stopień 20_21'!$G$9:$G$765,D42,'3 stopień 20_21'!$K$9:$K$765,"CKZ Krotoszyn")</f>
        <v>0</v>
      </c>
      <c r="V42" s="104">
        <f>SUMIFS('3 stopień 20_21'!$I$9:$I$765,'3 stopień 20_21'!$G$9:$G$765,D42,'3 stopień 20_21'!$K$9:$K$765,"CKZ Olkusz")</f>
        <v>0</v>
      </c>
      <c r="W42" s="104">
        <f>SUMIFS('3 stopień 20_21'!$I$9:$I$765,'3 stopień 20_21'!$G$9:$G$765,D42,'3 stopień 20_21'!$K$9:$K$765,"CKZ Wschowa")</f>
        <v>0</v>
      </c>
      <c r="X42" s="104">
        <f>SUMIFS('3 stopień 20_21'!$I$9:$I$765,'3 stopień 20_21'!$G$9:$G$765,D42,'3 stopień 20_21'!$K$9:$K$765,"CKZ Zielona Góra")</f>
        <v>4</v>
      </c>
      <c r="Y42" s="104">
        <f>SUMIFS('3 stopień 20_21'!$I$9:$I$765,'3 stopień 20_21'!$G$9:$G$765,D42,'3 stopień 20_21'!$K$9:$K$765,"Rzemieślnicza Wałbrzych")</f>
        <v>0</v>
      </c>
      <c r="Z42" s="104">
        <f>SUMIFS('3 stopień 20_21'!$I$9:$I$765,'3 stopień 20_21'!$G$9:$G$765,D42,'3 stopień 20_21'!$K$9:$K$765,"CKZ Mosina")</f>
        <v>0</v>
      </c>
      <c r="AA42" s="104">
        <f>SUMIFS('3 stopień 20_21'!$I$9:$I$765,'3 stopień 20_21'!$G$9:$G$765,D42,'3 stopień 20_21'!$K$9:$K$765,"CKZ Opole")</f>
        <v>0</v>
      </c>
      <c r="AB42" s="104">
        <f>SUMIFS('3 stopień 20_21'!$I$9:$I$765,'3 stopień 20_21'!$G$9:$G$765,D42,'3 stopień 20_21'!$K$9:$K$765,"")</f>
        <v>0</v>
      </c>
      <c r="AC42" s="105">
        <f t="shared" si="0"/>
        <v>4</v>
      </c>
    </row>
    <row r="43" spans="2:29">
      <c r="B43" s="100" t="s">
        <v>625</v>
      </c>
      <c r="C43" s="101">
        <v>712613</v>
      </c>
      <c r="D43" s="102" t="s">
        <v>915</v>
      </c>
      <c r="E43" s="100" t="s">
        <v>758</v>
      </c>
      <c r="F43" s="103">
        <f>SUMIF('3 stopień 20_21'!G$9:G$750,D43,'3 stopień 20_21'!I$9:I$751)</f>
        <v>0</v>
      </c>
      <c r="G43" s="104">
        <f>SUMIFS('3 stopień 20_21'!$I$9:$I$765,'3 stopień 20_21'!$G$9:$G$765,D43,'3 stopień 20_21'!$K$9:$K$765,"CKZ Bielawa")</f>
        <v>0</v>
      </c>
      <c r="H43" s="104">
        <f>SUMIFS('3 stopień 20_21'!$I$9:$I$765,'3 stopień 20_21'!$G$9:$G$765,D43,'3 stopień 20_21'!$K$9:$K$765,"GCKZ Głogów")</f>
        <v>0</v>
      </c>
      <c r="I43" s="104">
        <f>SUMIFS('3 stopień 20_21'!$I$9:$I$765,'3 stopień 20_21'!$G$9:$G$765,D43,'3 stopień 20_21'!$K$9:$K$765,"CKZ Jawor")</f>
        <v>0</v>
      </c>
      <c r="J43" s="104">
        <f>SUMIFS('3 stopień 20_21'!$I$9:$I$765,'3 stopień 20_21'!$G$9:$G$765,D43,'3 stopień 20_21'!$K$9:$K$765,"JCKZ Jelenia Góra")</f>
        <v>0</v>
      </c>
      <c r="K43" s="104">
        <f>SUMIFS('3 stopień 20_21'!$I$9:$I$765,'3 stopień 20_21'!$G$9:$G$765,D43,'3 stopień 20_21'!$K$9:$K$765,"CKZ Kłodzko")</f>
        <v>0</v>
      </c>
      <c r="L43" s="104">
        <f>SUMIFS('3 stopień 20_21'!$I$9:$I$765,'3 stopień 20_21'!$G$9:$G$765,D43,'3 stopień 20_21'!$K$9:$K$765,"CKZ Legnica")</f>
        <v>0</v>
      </c>
      <c r="M43" s="104">
        <f>SUMIFS('3 stopień 20_21'!$I$9:$I$765,'3 stopień 20_21'!$G$9:$G$765,D43,'3 stopień 20_21'!$K$9:$K$765,"CKZ Oleśnica")</f>
        <v>0</v>
      </c>
      <c r="N43" s="104">
        <f>SUMIFS('3 stopień 20_21'!$I$9:$I$765,'3 stopień 20_21'!$G$9:$G$765,D43,'3 stopień 20_21'!$K$9:$K$765,"CKZ Świdnica")</f>
        <v>0</v>
      </c>
      <c r="O43" s="104">
        <f>SUMIFS('3 stopień 20_21'!$I$9:$I$765,'3 stopień 20_21'!$G$9:$G$765,D43,'3 stopień 20_21'!$K$9:$K$765,"CKZ Wołów")</f>
        <v>0</v>
      </c>
      <c r="P43" s="104">
        <f>SUMIFS('3 stopień 20_21'!$I$9:$I$765,'3 stopień 20_21'!$G$9:$G$765,D43,'3 stopień 20_21'!$K$9:$K$765,"CKZ Ziębice")</f>
        <v>0</v>
      </c>
      <c r="Q43" s="104">
        <f>SUMIFS('3 stopień 20_21'!$I$9:$I$765,'3 stopień 20_21'!$G$9:$G$765,D43,'3 stopień 20_21'!$K$9:$K$765,"CKZ Dobrodzień")</f>
        <v>0</v>
      </c>
      <c r="R43" s="104">
        <f>SUMIFS('3 stopień 20_21'!$I$9:$I$765,'3 stopień 20_21'!$G$9:$G$765,D43,'3 stopień 20_21'!$K$9:$K$765,"CKZ Głubczyce")</f>
        <v>0</v>
      </c>
      <c r="S43" s="104">
        <f>SUMIFS('3 stopień 20_21'!$I$9:$I$765,'3 stopień 20_21'!$G$9:$G$765,D43,'3 stopień 20_21'!$K$9:$K$765,"CKZ Kędzierzyn Kożle")</f>
        <v>0</v>
      </c>
      <c r="T43" s="104">
        <f>SUMIFS('3 stopień 20_21'!$I$9:$I$765,'3 stopień 20_21'!$G$9:$G$765,D43,'3 stopień 20_21'!$K$9:$K$765,"CKZ Kluczbork")</f>
        <v>0</v>
      </c>
      <c r="U43" s="104">
        <f>SUMIFS('3 stopień 20_21'!$I$9:$I$765,'3 stopień 20_21'!$G$9:$G$765,D43,'3 stopień 20_21'!$K$9:$K$765,"CKZ Krotoszyn")</f>
        <v>0</v>
      </c>
      <c r="V43" s="104">
        <f>SUMIFS('3 stopień 20_21'!$I$9:$I$765,'3 stopień 20_21'!$G$9:$G$765,D43,'3 stopień 20_21'!$K$9:$K$765,"CKZ Olkusz")</f>
        <v>0</v>
      </c>
      <c r="W43" s="104">
        <f>SUMIFS('3 stopień 20_21'!$I$9:$I$765,'3 stopień 20_21'!$G$9:$G$765,D43,'3 stopień 20_21'!$K$9:$K$765,"CKZ Wschowa")</f>
        <v>0</v>
      </c>
      <c r="X43" s="104">
        <f>SUMIFS('3 stopień 20_21'!$I$9:$I$765,'3 stopień 20_21'!$G$9:$G$765,D43,'3 stopień 20_21'!$K$9:$K$765,"CKZ Zielona Góra")</f>
        <v>0</v>
      </c>
      <c r="Y43" s="104">
        <f>SUMIFS('3 stopień 20_21'!$I$9:$I$765,'3 stopień 20_21'!$G$9:$G$765,D43,'3 stopień 20_21'!$K$9:$K$765,"Rzemieślnicza Wałbrzych")</f>
        <v>0</v>
      </c>
      <c r="Z43" s="104">
        <f>SUMIFS('3 stopień 20_21'!$I$9:$I$765,'3 stopień 20_21'!$G$9:$G$765,D43,'3 stopień 20_21'!$K$9:$K$765,"CKZ Mosina")</f>
        <v>0</v>
      </c>
      <c r="AA43" s="104">
        <f>SUMIFS('3 stopień 20_21'!$I$9:$I$765,'3 stopień 20_21'!$G$9:$G$765,D43,'3 stopień 20_21'!$K$9:$K$765,"CKZ Opole")</f>
        <v>0</v>
      </c>
      <c r="AB43" s="104">
        <f>SUMIFS('3 stopień 20_21'!$I$9:$I$765,'3 stopień 20_21'!$G$9:$G$765,D43,'3 stopień 20_21'!$K$9:$K$765,"")</f>
        <v>0</v>
      </c>
      <c r="AC43" s="105">
        <f t="shared" si="0"/>
        <v>0</v>
      </c>
    </row>
    <row r="44" spans="2:29">
      <c r="B44" s="100" t="s">
        <v>82</v>
      </c>
      <c r="C44" s="101">
        <v>722307</v>
      </c>
      <c r="D44" s="101" t="s">
        <v>244</v>
      </c>
      <c r="E44" s="100" t="s">
        <v>760</v>
      </c>
      <c r="F44" s="103">
        <f>SUMIF('3 stopień 20_21'!G$9:G$750,D44,'3 stopień 20_21'!I$9:I$751)</f>
        <v>82</v>
      </c>
      <c r="G44" s="104">
        <f>SUMIFS('3 stopień 20_21'!$I$9:$I$765,'3 stopień 20_21'!$G$9:$G$765,D44,'3 stopień 20_21'!$K$9:$K$765,"CKZ Bielawa")</f>
        <v>0</v>
      </c>
      <c r="H44" s="104">
        <f>SUMIFS('3 stopień 20_21'!$I$9:$I$765,'3 stopień 20_21'!$G$9:$G$765,D44,'3 stopień 20_21'!$K$9:$K$765,"GCKZ Głogów")</f>
        <v>0</v>
      </c>
      <c r="I44" s="104">
        <f>SUMIFS('3 stopień 20_21'!$I$9:$I$765,'3 stopień 20_21'!$G$9:$G$765,D44,'3 stopień 20_21'!$K$9:$K$765,"CKZ Jawor")</f>
        <v>0</v>
      </c>
      <c r="J44" s="104">
        <f>SUMIFS('3 stopień 20_21'!$I$9:$I$765,'3 stopień 20_21'!$G$9:$G$765,D44,'3 stopień 20_21'!$K$9:$K$765,"JCKZ Jelenia Góra")</f>
        <v>22</v>
      </c>
      <c r="K44" s="104">
        <f>SUMIFS('3 stopień 20_21'!$I$9:$I$765,'3 stopień 20_21'!$G$9:$G$765,D44,'3 stopień 20_21'!$K$9:$K$765,"CKZ Kłodzko")</f>
        <v>0</v>
      </c>
      <c r="L44" s="104">
        <f>SUMIFS('3 stopień 20_21'!$I$9:$I$765,'3 stopień 20_21'!$G$9:$G$765,D44,'3 stopień 20_21'!$K$9:$K$765,"CKZ Legnica")</f>
        <v>0</v>
      </c>
      <c r="M44" s="104">
        <f>SUMIFS('3 stopień 20_21'!$I$9:$I$765,'3 stopień 20_21'!$G$9:$G$765,D44,'3 stopień 20_21'!$K$9:$K$765,"CKZ Oleśnica")</f>
        <v>0</v>
      </c>
      <c r="N44" s="104">
        <f>SUMIFS('3 stopień 20_21'!$I$9:$I$765,'3 stopień 20_21'!$G$9:$G$765,D44,'3 stopień 20_21'!$K$9:$K$765,"CKZ Świdnica")</f>
        <v>59</v>
      </c>
      <c r="O44" s="104">
        <f>SUMIFS('3 stopień 20_21'!$I$9:$I$765,'3 stopień 20_21'!$G$9:$G$765,D44,'3 stopień 20_21'!$K$9:$K$765,"CKZ Wołów")</f>
        <v>0</v>
      </c>
      <c r="P44" s="104">
        <f>SUMIFS('3 stopień 20_21'!$I$9:$I$765,'3 stopień 20_21'!$G$9:$G$765,D44,'3 stopień 20_21'!$K$9:$K$765,"CKZ Ziębice")</f>
        <v>0</v>
      </c>
      <c r="Q44" s="104">
        <f>SUMIFS('3 stopień 20_21'!$I$9:$I$765,'3 stopień 20_21'!$G$9:$G$765,D44,'3 stopień 20_21'!$K$9:$K$765,"CKZ Dobrodzień")</f>
        <v>0</v>
      </c>
      <c r="R44" s="104">
        <f>SUMIFS('3 stopień 20_21'!$I$9:$I$765,'3 stopień 20_21'!$G$9:$G$765,D44,'3 stopień 20_21'!$K$9:$K$765,"CKZ Głubczyce")</f>
        <v>0</v>
      </c>
      <c r="S44" s="104">
        <f>SUMIFS('3 stopień 20_21'!$I$9:$I$765,'3 stopień 20_21'!$G$9:$G$765,D44,'3 stopień 20_21'!$K$9:$K$765,"CKZ Kędzierzyn Kożle")</f>
        <v>0</v>
      </c>
      <c r="T44" s="104">
        <f>SUMIFS('3 stopień 20_21'!$I$9:$I$765,'3 stopień 20_21'!$G$9:$G$765,D44,'3 stopień 20_21'!$K$9:$K$765,"CKZ Kluczbork")</f>
        <v>0</v>
      </c>
      <c r="U44" s="104">
        <f>SUMIFS('3 stopień 20_21'!$I$9:$I$765,'3 stopień 20_21'!$G$9:$G$765,D44,'3 stopień 20_21'!$K$9:$K$765,"CKZ Krotoszyn")</f>
        <v>1</v>
      </c>
      <c r="V44" s="104">
        <f>SUMIFS('3 stopień 20_21'!$I$9:$I$765,'3 stopień 20_21'!$G$9:$G$765,D44,'3 stopień 20_21'!$K$9:$K$765,"CKZ Olkusz")</f>
        <v>0</v>
      </c>
      <c r="W44" s="104">
        <f>SUMIFS('3 stopień 20_21'!$I$9:$I$765,'3 stopień 20_21'!$G$9:$G$765,D44,'3 stopień 20_21'!$K$9:$K$765,"CKZ Wschowa")</f>
        <v>0</v>
      </c>
      <c r="X44" s="104">
        <f>SUMIFS('3 stopień 20_21'!$I$9:$I$765,'3 stopień 20_21'!$G$9:$G$765,D44,'3 stopień 20_21'!$K$9:$K$765,"CKZ Zielona Góra")</f>
        <v>0</v>
      </c>
      <c r="Y44" s="104">
        <f>SUMIFS('3 stopień 20_21'!$I$9:$I$765,'3 stopień 20_21'!$G$9:$G$765,D44,'3 stopień 20_21'!$K$9:$K$765,"Rzemieślnicza Wałbrzych")</f>
        <v>0</v>
      </c>
      <c r="Z44" s="104">
        <f>SUMIFS('3 stopień 20_21'!$I$9:$I$765,'3 stopień 20_21'!$G$9:$G$765,D44,'3 stopień 20_21'!$K$9:$K$765,"CKZ Mosina")</f>
        <v>0</v>
      </c>
      <c r="AA44" s="104">
        <f>SUMIFS('3 stopień 20_21'!$I$9:$I$765,'3 stopień 20_21'!$G$9:$G$765,D44,'3 stopień 20_21'!$K$9:$K$765,"CKZ Opole")</f>
        <v>0</v>
      </c>
      <c r="AB44" s="104">
        <f>SUMIFS('3 stopień 20_21'!$I$9:$I$765,'3 stopień 20_21'!$G$9:$G$765,D44,'3 stopień 20_21'!$K$9:$K$765,"")</f>
        <v>0</v>
      </c>
      <c r="AC44" s="105">
        <f t="shared" si="0"/>
        <v>82</v>
      </c>
    </row>
    <row r="45" spans="2:29">
      <c r="B45" s="100" t="s">
        <v>626</v>
      </c>
      <c r="C45" s="101">
        <v>932916</v>
      </c>
      <c r="D45" s="102" t="s">
        <v>916</v>
      </c>
      <c r="E45" s="100" t="s">
        <v>761</v>
      </c>
      <c r="F45" s="103">
        <f>SUMIF('3 stopień 20_21'!G$9:G$750,D45,'3 stopień 20_21'!I$9:I$751)</f>
        <v>0</v>
      </c>
      <c r="G45" s="104">
        <f>SUMIFS('3 stopień 20_21'!$I$9:$I$765,'3 stopień 20_21'!$G$9:$G$765,D45,'3 stopień 20_21'!$K$9:$K$765,"CKZ Bielawa")</f>
        <v>0</v>
      </c>
      <c r="H45" s="104">
        <f>SUMIFS('3 stopień 20_21'!$I$9:$I$765,'3 stopień 20_21'!$G$9:$G$765,D45,'3 stopień 20_21'!$K$9:$K$765,"GCKZ Głogów")</f>
        <v>0</v>
      </c>
      <c r="I45" s="104">
        <f>SUMIFS('3 stopień 20_21'!$I$9:$I$765,'3 stopień 20_21'!$G$9:$G$765,D45,'3 stopień 20_21'!$K$9:$K$765,"CKZ Jawor")</f>
        <v>0</v>
      </c>
      <c r="J45" s="104">
        <f>SUMIFS('3 stopień 20_21'!$I$9:$I$765,'3 stopień 20_21'!$G$9:$G$765,D45,'3 stopień 20_21'!$K$9:$K$765,"JCKZ Jelenia Góra")</f>
        <v>0</v>
      </c>
      <c r="K45" s="104">
        <f>SUMIFS('3 stopień 20_21'!$I$9:$I$765,'3 stopień 20_21'!$G$9:$G$765,D45,'3 stopień 20_21'!$K$9:$K$765,"CKZ Kłodzko")</f>
        <v>0</v>
      </c>
      <c r="L45" s="104">
        <f>SUMIFS('3 stopień 20_21'!$I$9:$I$765,'3 stopień 20_21'!$G$9:$G$765,D45,'3 stopień 20_21'!$K$9:$K$765,"CKZ Legnica")</f>
        <v>0</v>
      </c>
      <c r="M45" s="104">
        <f>SUMIFS('3 stopień 20_21'!$I$9:$I$765,'3 stopień 20_21'!$G$9:$G$765,D45,'3 stopień 20_21'!$K$9:$K$765,"CKZ Oleśnica")</f>
        <v>0</v>
      </c>
      <c r="N45" s="104">
        <f>SUMIFS('3 stopień 20_21'!$I$9:$I$765,'3 stopień 20_21'!$G$9:$G$765,D45,'3 stopień 20_21'!$K$9:$K$765,"CKZ Świdnica")</f>
        <v>0</v>
      </c>
      <c r="O45" s="104">
        <f>SUMIFS('3 stopień 20_21'!$I$9:$I$765,'3 stopień 20_21'!$G$9:$G$765,D45,'3 stopień 20_21'!$K$9:$K$765,"CKZ Wołów")</f>
        <v>0</v>
      </c>
      <c r="P45" s="104">
        <f>SUMIFS('3 stopień 20_21'!$I$9:$I$765,'3 stopień 20_21'!$G$9:$G$765,D45,'3 stopień 20_21'!$K$9:$K$765,"CKZ Ziębice")</f>
        <v>0</v>
      </c>
      <c r="Q45" s="104">
        <f>SUMIFS('3 stopień 20_21'!$I$9:$I$765,'3 stopień 20_21'!$G$9:$G$765,D45,'3 stopień 20_21'!$K$9:$K$765,"CKZ Dobrodzień")</f>
        <v>0</v>
      </c>
      <c r="R45" s="104">
        <f>SUMIFS('3 stopień 20_21'!$I$9:$I$765,'3 stopień 20_21'!$G$9:$G$765,D45,'3 stopień 20_21'!$K$9:$K$765,"CKZ Głubczyce")</f>
        <v>0</v>
      </c>
      <c r="S45" s="104">
        <f>SUMIFS('3 stopień 20_21'!$I$9:$I$765,'3 stopień 20_21'!$G$9:$G$765,D45,'3 stopień 20_21'!$K$9:$K$765,"CKZ Kędzierzyn Kożle")</f>
        <v>0</v>
      </c>
      <c r="T45" s="104">
        <f>SUMIFS('3 stopień 20_21'!$I$9:$I$765,'3 stopień 20_21'!$G$9:$G$765,D45,'3 stopień 20_21'!$K$9:$K$765,"CKZ Kluczbork")</f>
        <v>0</v>
      </c>
      <c r="U45" s="104">
        <f>SUMIFS('3 stopień 20_21'!$I$9:$I$765,'3 stopień 20_21'!$G$9:$G$765,D45,'3 stopień 20_21'!$K$9:$K$765,"CKZ Krotoszyn")</f>
        <v>0</v>
      </c>
      <c r="V45" s="104">
        <f>SUMIFS('3 stopień 20_21'!$I$9:$I$765,'3 stopień 20_21'!$G$9:$G$765,D45,'3 stopień 20_21'!$K$9:$K$765,"CKZ Olkusz")</f>
        <v>0</v>
      </c>
      <c r="W45" s="104">
        <f>SUMIFS('3 stopień 20_21'!$I$9:$I$765,'3 stopień 20_21'!$G$9:$G$765,D45,'3 stopień 20_21'!$K$9:$K$765,"CKZ Wschowa")</f>
        <v>0</v>
      </c>
      <c r="X45" s="104">
        <f>SUMIFS('3 stopień 20_21'!$I$9:$I$765,'3 stopień 20_21'!$G$9:$G$765,D45,'3 stopień 20_21'!$K$9:$K$765,"CKZ Zielona Góra")</f>
        <v>0</v>
      </c>
      <c r="Y45" s="104">
        <f>SUMIFS('3 stopień 20_21'!$I$9:$I$765,'3 stopień 20_21'!$G$9:$G$765,D45,'3 stopień 20_21'!$K$9:$K$765,"Rzemieślnicza Wałbrzych")</f>
        <v>0</v>
      </c>
      <c r="Z45" s="104">
        <f>SUMIFS('3 stopień 20_21'!$I$9:$I$765,'3 stopień 20_21'!$G$9:$G$765,D45,'3 stopień 20_21'!$K$9:$K$765,"CKZ Mosina")</f>
        <v>0</v>
      </c>
      <c r="AA45" s="104">
        <f>SUMIFS('3 stopień 20_21'!$I$9:$I$765,'3 stopień 20_21'!$G$9:$G$765,D45,'3 stopień 20_21'!$K$9:$K$765,"CKZ Opole")</f>
        <v>0</v>
      </c>
      <c r="AB45" s="104">
        <f>SUMIFS('3 stopień 20_21'!$I$9:$I$765,'3 stopień 20_21'!$G$9:$G$765,D45,'3 stopień 20_21'!$K$9:$K$765,"")</f>
        <v>0</v>
      </c>
      <c r="AC45" s="105">
        <f t="shared" si="0"/>
        <v>0</v>
      </c>
    </row>
    <row r="46" spans="2:29" ht="16.5" customHeight="1">
      <c r="B46" s="100" t="s">
        <v>627</v>
      </c>
      <c r="C46" s="101">
        <v>932917</v>
      </c>
      <c r="D46" s="102" t="s">
        <v>917</v>
      </c>
      <c r="E46" s="100" t="s">
        <v>763</v>
      </c>
      <c r="F46" s="103">
        <f>SUMIF('3 stopień 20_21'!G$9:G$750,D46,'3 stopień 20_21'!I$9:I$751)</f>
        <v>0</v>
      </c>
      <c r="G46" s="104">
        <f>SUMIFS('3 stopień 20_21'!$I$9:$I$765,'3 stopień 20_21'!$G$9:$G$765,D46,'3 stopień 20_21'!$K$9:$K$765,"CKZ Bielawa")</f>
        <v>0</v>
      </c>
      <c r="H46" s="104">
        <f>SUMIFS('3 stopień 20_21'!$I$9:$I$765,'3 stopień 20_21'!$G$9:$G$765,D46,'3 stopień 20_21'!$K$9:$K$765,"GCKZ Głogów")</f>
        <v>0</v>
      </c>
      <c r="I46" s="104">
        <f>SUMIFS('3 stopień 20_21'!$I$9:$I$765,'3 stopień 20_21'!$G$9:$G$765,D46,'3 stopień 20_21'!$K$9:$K$765,"CKZ Jawor")</f>
        <v>0</v>
      </c>
      <c r="J46" s="104">
        <f>SUMIFS('3 stopień 20_21'!$I$9:$I$765,'3 stopień 20_21'!$G$9:$G$765,D46,'3 stopień 20_21'!$K$9:$K$765,"JCKZ Jelenia Góra")</f>
        <v>0</v>
      </c>
      <c r="K46" s="104">
        <f>SUMIFS('3 stopień 20_21'!$I$9:$I$765,'3 stopień 20_21'!$G$9:$G$765,D46,'3 stopień 20_21'!$K$9:$K$765,"CKZ Kłodzko")</f>
        <v>0</v>
      </c>
      <c r="L46" s="104">
        <f>SUMIFS('3 stopień 20_21'!$I$9:$I$765,'3 stopień 20_21'!$G$9:$G$765,D46,'3 stopień 20_21'!$K$9:$K$765,"CKZ Legnica")</f>
        <v>0</v>
      </c>
      <c r="M46" s="104">
        <f>SUMIFS('3 stopień 20_21'!$I$9:$I$765,'3 stopień 20_21'!$G$9:$G$765,D46,'3 stopień 20_21'!$K$9:$K$765,"CKZ Oleśnica")</f>
        <v>0</v>
      </c>
      <c r="N46" s="104">
        <f>SUMIFS('3 stopień 20_21'!$I$9:$I$765,'3 stopień 20_21'!$G$9:$G$765,D46,'3 stopień 20_21'!$K$9:$K$765,"CKZ Świdnica")</f>
        <v>0</v>
      </c>
      <c r="O46" s="104">
        <f>SUMIFS('3 stopień 20_21'!$I$9:$I$765,'3 stopień 20_21'!$G$9:$G$765,D46,'3 stopień 20_21'!$K$9:$K$765,"CKZ Wołów")</f>
        <v>0</v>
      </c>
      <c r="P46" s="104">
        <f>SUMIFS('3 stopień 20_21'!$I$9:$I$765,'3 stopień 20_21'!$G$9:$G$765,D46,'3 stopień 20_21'!$K$9:$K$765,"CKZ Ziębice")</f>
        <v>0</v>
      </c>
      <c r="Q46" s="104">
        <f>SUMIFS('3 stopień 20_21'!$I$9:$I$765,'3 stopień 20_21'!$G$9:$G$765,D46,'3 stopień 20_21'!$K$9:$K$765,"CKZ Dobrodzień")</f>
        <v>0</v>
      </c>
      <c r="R46" s="104">
        <f>SUMIFS('3 stopień 20_21'!$I$9:$I$765,'3 stopień 20_21'!$G$9:$G$765,D46,'3 stopień 20_21'!$K$9:$K$765,"CKZ Głubczyce")</f>
        <v>0</v>
      </c>
      <c r="S46" s="104">
        <f>SUMIFS('3 stopień 20_21'!$I$9:$I$765,'3 stopień 20_21'!$G$9:$G$765,D46,'3 stopień 20_21'!$K$9:$K$765,"CKZ Kędzierzyn Kożle")</f>
        <v>0</v>
      </c>
      <c r="T46" s="104">
        <f>SUMIFS('3 stopień 20_21'!$I$9:$I$765,'3 stopień 20_21'!$G$9:$G$765,D46,'3 stopień 20_21'!$K$9:$K$765,"CKZ Kluczbork")</f>
        <v>0</v>
      </c>
      <c r="U46" s="104">
        <f>SUMIFS('3 stopień 20_21'!$I$9:$I$765,'3 stopień 20_21'!$G$9:$G$765,D46,'3 stopień 20_21'!$K$9:$K$765,"CKZ Krotoszyn")</f>
        <v>0</v>
      </c>
      <c r="V46" s="104">
        <f>SUMIFS('3 stopień 20_21'!$I$9:$I$765,'3 stopień 20_21'!$G$9:$G$765,D46,'3 stopień 20_21'!$K$9:$K$765,"CKZ Olkusz")</f>
        <v>0</v>
      </c>
      <c r="W46" s="104">
        <f>SUMIFS('3 stopień 20_21'!$I$9:$I$765,'3 stopień 20_21'!$G$9:$G$765,D46,'3 stopień 20_21'!$K$9:$K$765,"CKZ Wschowa")</f>
        <v>0</v>
      </c>
      <c r="X46" s="104">
        <f>SUMIFS('3 stopień 20_21'!$I$9:$I$765,'3 stopień 20_21'!$G$9:$G$765,D46,'3 stopień 20_21'!$K$9:$K$765,"CKZ Zielona Góra")</f>
        <v>0</v>
      </c>
      <c r="Y46" s="104">
        <f>SUMIFS('3 stopień 20_21'!$I$9:$I$765,'3 stopień 20_21'!$G$9:$G$765,D46,'3 stopień 20_21'!$K$9:$K$765,"Rzemieślnicza Wałbrzych")</f>
        <v>0</v>
      </c>
      <c r="Z46" s="104">
        <f>SUMIFS('3 stopień 20_21'!$I$9:$I$765,'3 stopień 20_21'!$G$9:$G$765,D46,'3 stopień 20_21'!$K$9:$K$765,"CKZ Mosina")</f>
        <v>0</v>
      </c>
      <c r="AA46" s="104">
        <f>SUMIFS('3 stopień 20_21'!$I$9:$I$765,'3 stopień 20_21'!$G$9:$G$765,D46,'3 stopień 20_21'!$K$9:$K$765,"CKZ Opole")</f>
        <v>0</v>
      </c>
      <c r="AB46" s="104">
        <f>SUMIFS('3 stopień 20_21'!$I$9:$I$765,'3 stopień 20_21'!$G$9:$G$765,D46,'3 stopień 20_21'!$K$9:$K$765,"")</f>
        <v>0</v>
      </c>
      <c r="AC46" s="105">
        <f t="shared" si="0"/>
        <v>0</v>
      </c>
    </row>
    <row r="47" spans="2:29">
      <c r="B47" s="100" t="s">
        <v>217</v>
      </c>
      <c r="C47" s="101">
        <v>722204</v>
      </c>
      <c r="D47" s="101" t="s">
        <v>207</v>
      </c>
      <c r="E47" s="100" t="s">
        <v>846</v>
      </c>
      <c r="F47" s="103">
        <f>SUMIF('3 stopień 20_21'!G$9:G$750,D47,'3 stopień 20_21'!I$9:I$751)</f>
        <v>63</v>
      </c>
      <c r="G47" s="104">
        <f>SUMIFS('3 stopień 20_21'!$I$9:$I$765,'3 stopień 20_21'!$G$9:$G$765,D47,'3 stopień 20_21'!$K$9:$K$765,"CKZ Bielawa")</f>
        <v>0</v>
      </c>
      <c r="H47" s="104">
        <f>SUMIFS('3 stopień 20_21'!$I$9:$I$765,'3 stopień 20_21'!$G$9:$G$765,D47,'3 stopień 20_21'!$K$9:$K$765,"GCKZ Głogów")</f>
        <v>0</v>
      </c>
      <c r="I47" s="104">
        <f>SUMIFS('3 stopień 20_21'!$I$9:$I$765,'3 stopień 20_21'!$G$9:$G$765,D47,'3 stopień 20_21'!$K$9:$K$765,"CKZ Jawor")</f>
        <v>0</v>
      </c>
      <c r="J47" s="104">
        <f>SUMIFS('3 stopień 20_21'!$I$9:$I$765,'3 stopień 20_21'!$G$9:$G$765,D47,'3 stopień 20_21'!$K$9:$K$765,"JCKZ Jelenia Góra")</f>
        <v>14</v>
      </c>
      <c r="K47" s="104">
        <f>SUMIFS('3 stopień 20_21'!$I$9:$I$765,'3 stopień 20_21'!$G$9:$G$765,D47,'3 stopień 20_21'!$K$9:$K$765,"CKZ Kłodzko")</f>
        <v>0</v>
      </c>
      <c r="L47" s="104">
        <f>SUMIFS('3 stopień 20_21'!$I$9:$I$765,'3 stopień 20_21'!$G$9:$G$765,D47,'3 stopień 20_21'!$K$9:$K$765,"CKZ Legnica")</f>
        <v>0</v>
      </c>
      <c r="M47" s="104">
        <f>SUMIFS('3 stopień 20_21'!$I$9:$I$765,'3 stopień 20_21'!$G$9:$G$765,D47,'3 stopień 20_21'!$K$9:$K$765,"CKZ Oleśnica")</f>
        <v>0</v>
      </c>
      <c r="N47" s="104">
        <f>SUMIFS('3 stopień 20_21'!$I$9:$I$765,'3 stopień 20_21'!$G$9:$G$765,D47,'3 stopień 20_21'!$K$9:$K$765,"CKZ Świdnica")</f>
        <v>22</v>
      </c>
      <c r="O47" s="104">
        <f>SUMIFS('3 stopień 20_21'!$I$9:$I$765,'3 stopień 20_21'!$G$9:$G$765,D47,'3 stopień 20_21'!$K$9:$K$765,"CKZ Wołów")</f>
        <v>21</v>
      </c>
      <c r="P47" s="104">
        <f>SUMIFS('3 stopień 20_21'!$I$9:$I$765,'3 stopień 20_21'!$G$9:$G$765,D47,'3 stopień 20_21'!$K$9:$K$765,"CKZ Ziębice")</f>
        <v>0</v>
      </c>
      <c r="Q47" s="104">
        <f>SUMIFS('3 stopień 20_21'!$I$9:$I$765,'3 stopień 20_21'!$G$9:$G$765,D47,'3 stopień 20_21'!$K$9:$K$765,"CKZ Dobrodzień")</f>
        <v>0</v>
      </c>
      <c r="R47" s="104">
        <f>SUMIFS('3 stopień 20_21'!$I$9:$I$765,'3 stopień 20_21'!$G$9:$G$765,D47,'3 stopień 20_21'!$K$9:$K$765,"CKZ Głubczyce")</f>
        <v>0</v>
      </c>
      <c r="S47" s="104">
        <f>SUMIFS('3 stopień 20_21'!$I$9:$I$765,'3 stopień 20_21'!$G$9:$G$765,D47,'3 stopień 20_21'!$K$9:$K$765,"CKZ Kędzierzyn Kożle")</f>
        <v>0</v>
      </c>
      <c r="T47" s="104">
        <f>SUMIFS('3 stopień 20_21'!$I$9:$I$765,'3 stopień 20_21'!$G$9:$G$765,D47,'3 stopień 20_21'!$K$9:$K$765,"CKZ Kluczbork")</f>
        <v>0</v>
      </c>
      <c r="U47" s="104">
        <f>SUMIFS('3 stopień 20_21'!$I$9:$I$765,'3 stopień 20_21'!$G$9:$G$765,D47,'3 stopień 20_21'!$K$9:$K$765,"CKZ Krotoszyn")</f>
        <v>2</v>
      </c>
      <c r="V47" s="104">
        <f>SUMIFS('3 stopień 20_21'!$I$9:$I$765,'3 stopień 20_21'!$G$9:$G$765,D47,'3 stopień 20_21'!$K$9:$K$765,"CKZ Olkusz")</f>
        <v>0</v>
      </c>
      <c r="W47" s="104">
        <f>SUMIFS('3 stopień 20_21'!$I$9:$I$765,'3 stopień 20_21'!$G$9:$G$765,D47,'3 stopień 20_21'!$K$9:$K$765,"CKZ Wschowa")</f>
        <v>4</v>
      </c>
      <c r="X47" s="104">
        <f>SUMIFS('3 stopień 20_21'!$I$9:$I$765,'3 stopień 20_21'!$G$9:$G$765,D47,'3 stopień 20_21'!$K$9:$K$765,"CKZ Zielona Góra")</f>
        <v>0</v>
      </c>
      <c r="Y47" s="104">
        <f>SUMIFS('3 stopień 20_21'!$I$9:$I$765,'3 stopień 20_21'!$G$9:$G$765,D47,'3 stopień 20_21'!$K$9:$K$765,"Rzemieślnicza Wałbrzych")</f>
        <v>0</v>
      </c>
      <c r="Z47" s="104">
        <f>SUMIFS('3 stopień 20_21'!$I$9:$I$765,'3 stopień 20_21'!$G$9:$G$765,D47,'3 stopień 20_21'!$K$9:$K$765,"CKZ Mosina")</f>
        <v>0</v>
      </c>
      <c r="AA47" s="104">
        <f>SUMIFS('3 stopień 20_21'!$I$9:$I$765,'3 stopień 20_21'!$G$9:$G$765,D47,'3 stopień 20_21'!$K$9:$K$765,"CKZ Opole")</f>
        <v>0</v>
      </c>
      <c r="AB47" s="104">
        <f>SUMIFS('3 stopień 20_21'!$I$9:$I$765,'3 stopień 20_21'!$G$9:$G$765,D47,'3 stopień 20_21'!$K$9:$K$765,"")</f>
        <v>0</v>
      </c>
      <c r="AC47" s="105">
        <f t="shared" si="0"/>
        <v>63</v>
      </c>
    </row>
    <row r="48" spans="2:29">
      <c r="B48" s="100" t="s">
        <v>628</v>
      </c>
      <c r="C48" s="101">
        <v>731103</v>
      </c>
      <c r="D48" s="102" t="s">
        <v>918</v>
      </c>
      <c r="E48" s="100" t="s">
        <v>844</v>
      </c>
      <c r="F48" s="103">
        <f>SUMIF('3 stopień 20_21'!G$9:G$750,D48,'3 stopień 20_21'!I$9:I$751)</f>
        <v>0</v>
      </c>
      <c r="G48" s="104">
        <f>SUMIFS('3 stopień 20_21'!$I$9:$I$765,'3 stopień 20_21'!$G$9:$G$765,D48,'3 stopień 20_21'!$K$9:$K$765,"CKZ Bielawa")</f>
        <v>0</v>
      </c>
      <c r="H48" s="104">
        <f>SUMIFS('3 stopień 20_21'!$I$9:$I$765,'3 stopień 20_21'!$G$9:$G$765,D48,'3 stopień 20_21'!$K$9:$K$765,"GCKZ Głogów")</f>
        <v>0</v>
      </c>
      <c r="I48" s="104">
        <f>SUMIFS('3 stopień 20_21'!$I$9:$I$765,'3 stopień 20_21'!$G$9:$G$765,D48,'3 stopień 20_21'!$K$9:$K$765,"CKZ Jawor")</f>
        <v>0</v>
      </c>
      <c r="J48" s="104">
        <f>SUMIFS('3 stopień 20_21'!$I$9:$I$765,'3 stopień 20_21'!$G$9:$G$765,D48,'3 stopień 20_21'!$K$9:$K$765,"JCKZ Jelenia Góra")</f>
        <v>0</v>
      </c>
      <c r="K48" s="104">
        <f>SUMIFS('3 stopień 20_21'!$I$9:$I$765,'3 stopień 20_21'!$G$9:$G$765,D48,'3 stopień 20_21'!$K$9:$K$765,"CKZ Kłodzko")</f>
        <v>0</v>
      </c>
      <c r="L48" s="104">
        <f>SUMIFS('3 stopień 20_21'!$I$9:$I$765,'3 stopień 20_21'!$G$9:$G$765,D48,'3 stopień 20_21'!$K$9:$K$765,"CKZ Legnica")</f>
        <v>0</v>
      </c>
      <c r="M48" s="104">
        <f>SUMIFS('3 stopień 20_21'!$I$9:$I$765,'3 stopień 20_21'!$G$9:$G$765,D48,'3 stopień 20_21'!$K$9:$K$765,"CKZ Oleśnica")</f>
        <v>0</v>
      </c>
      <c r="N48" s="104">
        <f>SUMIFS('3 stopień 20_21'!$I$9:$I$765,'3 stopień 20_21'!$G$9:$G$765,D48,'3 stopień 20_21'!$K$9:$K$765,"CKZ Świdnica")</f>
        <v>0</v>
      </c>
      <c r="O48" s="104">
        <f>SUMIFS('3 stopień 20_21'!$I$9:$I$765,'3 stopień 20_21'!$G$9:$G$765,D48,'3 stopień 20_21'!$K$9:$K$765,"CKZ Wołów")</f>
        <v>0</v>
      </c>
      <c r="P48" s="104">
        <f>SUMIFS('3 stopień 20_21'!$I$9:$I$765,'3 stopień 20_21'!$G$9:$G$765,D48,'3 stopień 20_21'!$K$9:$K$765,"CKZ Ziębice")</f>
        <v>0</v>
      </c>
      <c r="Q48" s="104">
        <f>SUMIFS('3 stopień 20_21'!$I$9:$I$765,'3 stopień 20_21'!$G$9:$G$765,D48,'3 stopień 20_21'!$K$9:$K$765,"CKZ Dobrodzień")</f>
        <v>0</v>
      </c>
      <c r="R48" s="104">
        <f>SUMIFS('3 stopień 20_21'!$I$9:$I$765,'3 stopień 20_21'!$G$9:$G$765,D48,'3 stopień 20_21'!$K$9:$K$765,"CKZ Głubczyce")</f>
        <v>0</v>
      </c>
      <c r="S48" s="104">
        <f>SUMIFS('3 stopień 20_21'!$I$9:$I$765,'3 stopień 20_21'!$G$9:$G$765,D48,'3 stopień 20_21'!$K$9:$K$765,"CKZ Kędzierzyn Kożle")</f>
        <v>0</v>
      </c>
      <c r="T48" s="104">
        <f>SUMIFS('3 stopień 20_21'!$I$9:$I$765,'3 stopień 20_21'!$G$9:$G$765,D48,'3 stopień 20_21'!$K$9:$K$765,"CKZ Kluczbork")</f>
        <v>0</v>
      </c>
      <c r="U48" s="104">
        <f>SUMIFS('3 stopień 20_21'!$I$9:$I$765,'3 stopień 20_21'!$G$9:$G$765,D48,'3 stopień 20_21'!$K$9:$K$765,"CKZ Krotoszyn")</f>
        <v>0</v>
      </c>
      <c r="V48" s="104">
        <f>SUMIFS('3 stopień 20_21'!$I$9:$I$765,'3 stopień 20_21'!$G$9:$G$765,D48,'3 stopień 20_21'!$K$9:$K$765,"CKZ Olkusz")</f>
        <v>0</v>
      </c>
      <c r="W48" s="104">
        <f>SUMIFS('3 stopień 20_21'!$I$9:$I$765,'3 stopień 20_21'!$G$9:$G$765,D48,'3 stopień 20_21'!$K$9:$K$765,"CKZ Wschowa")</f>
        <v>0</v>
      </c>
      <c r="X48" s="104">
        <f>SUMIFS('3 stopień 20_21'!$I$9:$I$765,'3 stopień 20_21'!$G$9:$G$765,D48,'3 stopień 20_21'!$K$9:$K$765,"CKZ Zielona Góra")</f>
        <v>0</v>
      </c>
      <c r="Y48" s="104">
        <f>SUMIFS('3 stopień 20_21'!$I$9:$I$765,'3 stopień 20_21'!$G$9:$G$765,D48,'3 stopień 20_21'!$K$9:$K$765,"Rzemieślnicza Wałbrzych")</f>
        <v>0</v>
      </c>
      <c r="Z48" s="104">
        <f>SUMIFS('3 stopień 20_21'!$I$9:$I$765,'3 stopień 20_21'!$G$9:$G$765,D48,'3 stopień 20_21'!$K$9:$K$765,"CKZ Mosina")</f>
        <v>0</v>
      </c>
      <c r="AA48" s="104">
        <f>SUMIFS('3 stopień 20_21'!$I$9:$I$765,'3 stopień 20_21'!$G$9:$G$765,D48,'3 stopień 20_21'!$K$9:$K$765,"CKZ Opole")</f>
        <v>0</v>
      </c>
      <c r="AB48" s="104">
        <f>SUMIFS('3 stopień 20_21'!$I$9:$I$765,'3 stopień 20_21'!$G$9:$G$765,D48,'3 stopień 20_21'!$K$9:$K$765,"")</f>
        <v>0</v>
      </c>
      <c r="AC48" s="105">
        <f t="shared" si="0"/>
        <v>0</v>
      </c>
    </row>
    <row r="49" spans="2:29">
      <c r="B49" s="100" t="s">
        <v>629</v>
      </c>
      <c r="C49" s="101">
        <v>731104</v>
      </c>
      <c r="D49" s="102" t="s">
        <v>919</v>
      </c>
      <c r="E49" s="100" t="s">
        <v>842</v>
      </c>
      <c r="F49" s="103">
        <f>SUMIF('3 stopień 20_21'!G$9:G$750,D49,'3 stopień 20_21'!I$9:I$751)</f>
        <v>0</v>
      </c>
      <c r="G49" s="104">
        <f>SUMIFS('3 stopień 20_21'!$I$9:$I$765,'3 stopień 20_21'!$G$9:$G$765,D49,'3 stopień 20_21'!$K$9:$K$765,"CKZ Bielawa")</f>
        <v>0</v>
      </c>
      <c r="H49" s="104">
        <f>SUMIFS('3 stopień 20_21'!$I$9:$I$765,'3 stopień 20_21'!$G$9:$G$765,D49,'3 stopień 20_21'!$K$9:$K$765,"GCKZ Głogów")</f>
        <v>0</v>
      </c>
      <c r="I49" s="104">
        <f>SUMIFS('3 stopień 20_21'!$I$9:$I$765,'3 stopień 20_21'!$G$9:$G$765,D49,'3 stopień 20_21'!$K$9:$K$765,"CKZ Jawor")</f>
        <v>0</v>
      </c>
      <c r="J49" s="104">
        <f>SUMIFS('3 stopień 20_21'!$I$9:$I$765,'3 stopień 20_21'!$G$9:$G$765,D49,'3 stopień 20_21'!$K$9:$K$765,"JCKZ Jelenia Góra")</f>
        <v>0</v>
      </c>
      <c r="K49" s="104">
        <f>SUMIFS('3 stopień 20_21'!$I$9:$I$765,'3 stopień 20_21'!$G$9:$G$765,D49,'3 stopień 20_21'!$K$9:$K$765,"CKZ Kłodzko")</f>
        <v>0</v>
      </c>
      <c r="L49" s="104">
        <f>SUMIFS('3 stopień 20_21'!$I$9:$I$765,'3 stopień 20_21'!$G$9:$G$765,D49,'3 stopień 20_21'!$K$9:$K$765,"CKZ Legnica")</f>
        <v>0</v>
      </c>
      <c r="M49" s="104">
        <f>SUMIFS('3 stopień 20_21'!$I$9:$I$765,'3 stopień 20_21'!$G$9:$G$765,D49,'3 stopień 20_21'!$K$9:$K$765,"CKZ Oleśnica")</f>
        <v>0</v>
      </c>
      <c r="N49" s="104">
        <f>SUMIFS('3 stopień 20_21'!$I$9:$I$765,'3 stopień 20_21'!$G$9:$G$765,D49,'3 stopień 20_21'!$K$9:$K$765,"CKZ Świdnica")</f>
        <v>0</v>
      </c>
      <c r="O49" s="104">
        <f>SUMIFS('3 stopień 20_21'!$I$9:$I$765,'3 stopień 20_21'!$G$9:$G$765,D49,'3 stopień 20_21'!$K$9:$K$765,"CKZ Wołów")</f>
        <v>0</v>
      </c>
      <c r="P49" s="104">
        <f>SUMIFS('3 stopień 20_21'!$I$9:$I$765,'3 stopień 20_21'!$G$9:$G$765,D49,'3 stopień 20_21'!$K$9:$K$765,"CKZ Ziębice")</f>
        <v>0</v>
      </c>
      <c r="Q49" s="104">
        <f>SUMIFS('3 stopień 20_21'!$I$9:$I$765,'3 stopień 20_21'!$G$9:$G$765,D49,'3 stopień 20_21'!$K$9:$K$765,"CKZ Dobrodzień")</f>
        <v>0</v>
      </c>
      <c r="R49" s="104">
        <f>SUMIFS('3 stopień 20_21'!$I$9:$I$765,'3 stopień 20_21'!$G$9:$G$765,D49,'3 stopień 20_21'!$K$9:$K$765,"CKZ Głubczyce")</f>
        <v>0</v>
      </c>
      <c r="S49" s="104">
        <f>SUMIFS('3 stopień 20_21'!$I$9:$I$765,'3 stopień 20_21'!$G$9:$G$765,D49,'3 stopień 20_21'!$K$9:$K$765,"CKZ Kędzierzyn Kożle")</f>
        <v>0</v>
      </c>
      <c r="T49" s="104">
        <f>SUMIFS('3 stopień 20_21'!$I$9:$I$765,'3 stopień 20_21'!$G$9:$G$765,D49,'3 stopień 20_21'!$K$9:$K$765,"CKZ Kluczbork")</f>
        <v>0</v>
      </c>
      <c r="U49" s="104">
        <f>SUMIFS('3 stopień 20_21'!$I$9:$I$765,'3 stopień 20_21'!$G$9:$G$765,D49,'3 stopień 20_21'!$K$9:$K$765,"CKZ Krotoszyn")</f>
        <v>0</v>
      </c>
      <c r="V49" s="104">
        <f>SUMIFS('3 stopień 20_21'!$I$9:$I$765,'3 stopień 20_21'!$G$9:$G$765,D49,'3 stopień 20_21'!$K$9:$K$765,"CKZ Olkusz")</f>
        <v>0</v>
      </c>
      <c r="W49" s="104">
        <f>SUMIFS('3 stopień 20_21'!$I$9:$I$765,'3 stopień 20_21'!$G$9:$G$765,D49,'3 stopień 20_21'!$K$9:$K$765,"CKZ Wschowa")</f>
        <v>0</v>
      </c>
      <c r="X49" s="104">
        <f>SUMIFS('3 stopień 20_21'!$I$9:$I$765,'3 stopień 20_21'!$G$9:$G$765,D49,'3 stopień 20_21'!$K$9:$K$765,"CKZ Zielona Góra")</f>
        <v>0</v>
      </c>
      <c r="Y49" s="104">
        <f>SUMIFS('3 stopień 20_21'!$I$9:$I$765,'3 stopień 20_21'!$G$9:$G$765,D49,'3 stopień 20_21'!$K$9:$K$765,"Rzemieślnicza Wałbrzych")</f>
        <v>0</v>
      </c>
      <c r="Z49" s="104">
        <f>SUMIFS('3 stopień 20_21'!$I$9:$I$765,'3 stopień 20_21'!$G$9:$G$765,D49,'3 stopień 20_21'!$K$9:$K$765,"CKZ Mosina")</f>
        <v>0</v>
      </c>
      <c r="AA49" s="104">
        <f>SUMIFS('3 stopień 20_21'!$I$9:$I$765,'3 stopień 20_21'!$G$9:$G$765,D49,'3 stopień 20_21'!$K$9:$K$765,"CKZ Opole")</f>
        <v>0</v>
      </c>
      <c r="AB49" s="104">
        <f>SUMIFS('3 stopień 20_21'!$I$9:$I$765,'3 stopień 20_21'!$G$9:$G$765,D49,'3 stopień 20_21'!$K$9:$K$765,"")</f>
        <v>0</v>
      </c>
      <c r="AC49" s="105">
        <f t="shared" si="0"/>
        <v>0</v>
      </c>
    </row>
    <row r="50" spans="2:29">
      <c r="B50" s="100" t="s">
        <v>630</v>
      </c>
      <c r="C50" s="101">
        <v>731106</v>
      </c>
      <c r="D50" s="102" t="s">
        <v>885</v>
      </c>
      <c r="E50" s="100" t="s">
        <v>840</v>
      </c>
      <c r="F50" s="103">
        <f>SUMIF('3 stopień 20_21'!G$9:G$750,D50,'3 stopień 20_21'!I$9:I$751)</f>
        <v>0</v>
      </c>
      <c r="G50" s="104">
        <f>SUMIFS('3 stopień 20_21'!$I$9:$I$765,'3 stopień 20_21'!$G$9:$G$765,D50,'3 stopień 20_21'!$K$9:$K$765,"CKZ Bielawa")</f>
        <v>0</v>
      </c>
      <c r="H50" s="104">
        <f>SUMIFS('3 stopień 20_21'!$I$9:$I$765,'3 stopień 20_21'!$G$9:$G$765,D50,'3 stopień 20_21'!$K$9:$K$765,"GCKZ Głogów")</f>
        <v>0</v>
      </c>
      <c r="I50" s="104">
        <f>SUMIFS('3 stopień 20_21'!$I$9:$I$765,'3 stopień 20_21'!$G$9:$G$765,D50,'3 stopień 20_21'!$K$9:$K$765,"CKZ Jawor")</f>
        <v>0</v>
      </c>
      <c r="J50" s="104">
        <f>SUMIFS('3 stopień 20_21'!$I$9:$I$765,'3 stopień 20_21'!$G$9:$G$765,D50,'3 stopień 20_21'!$K$9:$K$765,"JCKZ Jelenia Góra")</f>
        <v>0</v>
      </c>
      <c r="K50" s="104">
        <f>SUMIFS('3 stopień 20_21'!$I$9:$I$765,'3 stopień 20_21'!$G$9:$G$765,D50,'3 stopień 20_21'!$K$9:$K$765,"CKZ Kłodzko")</f>
        <v>0</v>
      </c>
      <c r="L50" s="104">
        <f>SUMIFS('3 stopień 20_21'!$I$9:$I$765,'3 stopień 20_21'!$G$9:$G$765,D50,'3 stopień 20_21'!$K$9:$K$765,"CKZ Legnica")</f>
        <v>0</v>
      </c>
      <c r="M50" s="104">
        <f>SUMIFS('3 stopień 20_21'!$I$9:$I$765,'3 stopień 20_21'!$G$9:$G$765,D50,'3 stopień 20_21'!$K$9:$K$765,"CKZ Oleśnica")</f>
        <v>0</v>
      </c>
      <c r="N50" s="104">
        <f>SUMIFS('3 stopień 20_21'!$I$9:$I$765,'3 stopień 20_21'!$G$9:$G$765,D50,'3 stopień 20_21'!$K$9:$K$765,"CKZ Świdnica")</f>
        <v>0</v>
      </c>
      <c r="O50" s="104">
        <f>SUMIFS('3 stopień 20_21'!$I$9:$I$765,'3 stopień 20_21'!$G$9:$G$765,D50,'3 stopień 20_21'!$K$9:$K$765,"CKZ Wołów")</f>
        <v>0</v>
      </c>
      <c r="P50" s="104">
        <f>SUMIFS('3 stopień 20_21'!$I$9:$I$765,'3 stopień 20_21'!$G$9:$G$765,D50,'3 stopień 20_21'!$K$9:$K$765,"CKZ Ziębice")</f>
        <v>0</v>
      </c>
      <c r="Q50" s="104">
        <f>SUMIFS('3 stopień 20_21'!$I$9:$I$765,'3 stopień 20_21'!$G$9:$G$765,D50,'3 stopień 20_21'!$K$9:$K$765,"CKZ Dobrodzień")</f>
        <v>0</v>
      </c>
      <c r="R50" s="104">
        <f>SUMIFS('3 stopień 20_21'!$I$9:$I$765,'3 stopień 20_21'!$G$9:$G$765,D50,'3 stopień 20_21'!$K$9:$K$765,"CKZ Głubczyce")</f>
        <v>0</v>
      </c>
      <c r="S50" s="104">
        <f>SUMIFS('3 stopień 20_21'!$I$9:$I$765,'3 stopień 20_21'!$G$9:$G$765,D50,'3 stopień 20_21'!$K$9:$K$765,"CKZ Kędzierzyn Kożle")</f>
        <v>0</v>
      </c>
      <c r="T50" s="104">
        <f>SUMIFS('3 stopień 20_21'!$I$9:$I$765,'3 stopień 20_21'!$G$9:$G$765,D50,'3 stopień 20_21'!$K$9:$K$765,"CKZ Kluczbork")</f>
        <v>0</v>
      </c>
      <c r="U50" s="104">
        <f>SUMIFS('3 stopień 20_21'!$I$9:$I$765,'3 stopień 20_21'!$G$9:$G$765,D50,'3 stopień 20_21'!$K$9:$K$765,"CKZ Krotoszyn")</f>
        <v>0</v>
      </c>
      <c r="V50" s="104">
        <f>SUMIFS('3 stopień 20_21'!$I$9:$I$765,'3 stopień 20_21'!$G$9:$G$765,D50,'3 stopień 20_21'!$K$9:$K$765,"CKZ Olkusz")</f>
        <v>0</v>
      </c>
      <c r="W50" s="104">
        <f>SUMIFS('3 stopień 20_21'!$I$9:$I$765,'3 stopień 20_21'!$G$9:$G$765,D50,'3 stopień 20_21'!$K$9:$K$765,"CKZ Wschowa")</f>
        <v>0</v>
      </c>
      <c r="X50" s="104">
        <f>SUMIFS('3 stopień 20_21'!$I$9:$I$765,'3 stopień 20_21'!$G$9:$G$765,D50,'3 stopień 20_21'!$K$9:$K$765,"CKZ Zielona Góra")</f>
        <v>0</v>
      </c>
      <c r="Y50" s="104">
        <f>SUMIFS('3 stopień 20_21'!$I$9:$I$765,'3 stopień 20_21'!$G$9:$G$765,D50,'3 stopień 20_21'!$K$9:$K$765,"Rzemieślnicza Wałbrzych")</f>
        <v>0</v>
      </c>
      <c r="Z50" s="104">
        <f>SUMIFS('3 stopień 20_21'!$I$9:$I$765,'3 stopień 20_21'!$G$9:$G$765,D50,'3 stopień 20_21'!$K$9:$K$765,"CKZ Mosina")</f>
        <v>0</v>
      </c>
      <c r="AA50" s="104">
        <f>SUMIFS('3 stopień 20_21'!$I$9:$I$765,'3 stopień 20_21'!$G$9:$G$765,D50,'3 stopień 20_21'!$K$9:$K$765,"CKZ Opole")</f>
        <v>0</v>
      </c>
      <c r="AB50" s="104">
        <f>SUMIFS('3 stopień 20_21'!$I$9:$I$765,'3 stopień 20_21'!$G$9:$G$765,D50,'3 stopień 20_21'!$K$9:$K$765,"")</f>
        <v>0</v>
      </c>
      <c r="AC50" s="105">
        <f t="shared" si="0"/>
        <v>0</v>
      </c>
    </row>
    <row r="51" spans="2:29">
      <c r="B51" s="100" t="s">
        <v>631</v>
      </c>
      <c r="C51" s="101">
        <v>731305</v>
      </c>
      <c r="D51" s="102" t="s">
        <v>901</v>
      </c>
      <c r="E51" s="100" t="s">
        <v>838</v>
      </c>
      <c r="F51" s="103">
        <f>SUMIF('3 stopień 20_21'!G$9:G$750,D51,'3 stopień 20_21'!I$9:I$751)</f>
        <v>0</v>
      </c>
      <c r="G51" s="104">
        <f>SUMIFS('3 stopień 20_21'!$I$9:$I$765,'3 stopień 20_21'!$G$9:$G$765,D51,'3 stopień 20_21'!$K$9:$K$765,"CKZ Bielawa")</f>
        <v>0</v>
      </c>
      <c r="H51" s="104">
        <f>SUMIFS('3 stopień 20_21'!$I$9:$I$765,'3 stopień 20_21'!$G$9:$G$765,D51,'3 stopień 20_21'!$K$9:$K$765,"GCKZ Głogów")</f>
        <v>0</v>
      </c>
      <c r="I51" s="104">
        <f>SUMIFS('3 stopień 20_21'!$I$9:$I$765,'3 stopień 20_21'!$G$9:$G$765,D51,'3 stopień 20_21'!$K$9:$K$765,"CKZ Jawor")</f>
        <v>0</v>
      </c>
      <c r="J51" s="104">
        <f>SUMIFS('3 stopień 20_21'!$I$9:$I$765,'3 stopień 20_21'!$G$9:$G$765,D51,'3 stopień 20_21'!$K$9:$K$765,"JCKZ Jelenia Góra")</f>
        <v>0</v>
      </c>
      <c r="K51" s="104">
        <f>SUMIFS('3 stopień 20_21'!$I$9:$I$765,'3 stopień 20_21'!$G$9:$G$765,D51,'3 stopień 20_21'!$K$9:$K$765,"CKZ Kłodzko")</f>
        <v>0</v>
      </c>
      <c r="L51" s="104">
        <f>SUMIFS('3 stopień 20_21'!$I$9:$I$765,'3 stopień 20_21'!$G$9:$G$765,D51,'3 stopień 20_21'!$K$9:$K$765,"CKZ Legnica")</f>
        <v>0</v>
      </c>
      <c r="M51" s="104">
        <f>SUMIFS('3 stopień 20_21'!$I$9:$I$765,'3 stopień 20_21'!$G$9:$G$765,D51,'3 stopień 20_21'!$K$9:$K$765,"CKZ Oleśnica")</f>
        <v>0</v>
      </c>
      <c r="N51" s="104">
        <f>SUMIFS('3 stopień 20_21'!$I$9:$I$765,'3 stopień 20_21'!$G$9:$G$765,D51,'3 stopień 20_21'!$K$9:$K$765,"CKZ Świdnica")</f>
        <v>0</v>
      </c>
      <c r="O51" s="104">
        <f>SUMIFS('3 stopień 20_21'!$I$9:$I$765,'3 stopień 20_21'!$G$9:$G$765,D51,'3 stopień 20_21'!$K$9:$K$765,"CKZ Wołów")</f>
        <v>0</v>
      </c>
      <c r="P51" s="104">
        <f>SUMIFS('3 stopień 20_21'!$I$9:$I$765,'3 stopień 20_21'!$G$9:$G$765,D51,'3 stopień 20_21'!$K$9:$K$765,"CKZ Ziębice")</f>
        <v>0</v>
      </c>
      <c r="Q51" s="104">
        <f>SUMIFS('3 stopień 20_21'!$I$9:$I$765,'3 stopień 20_21'!$G$9:$G$765,D51,'3 stopień 20_21'!$K$9:$K$765,"CKZ Dobrodzień")</f>
        <v>0</v>
      </c>
      <c r="R51" s="104">
        <f>SUMIFS('3 stopień 20_21'!$I$9:$I$765,'3 stopień 20_21'!$G$9:$G$765,D51,'3 stopień 20_21'!$K$9:$K$765,"CKZ Głubczyce")</f>
        <v>0</v>
      </c>
      <c r="S51" s="104">
        <f>SUMIFS('3 stopień 20_21'!$I$9:$I$765,'3 stopień 20_21'!$G$9:$G$765,D51,'3 stopień 20_21'!$K$9:$K$765,"CKZ Kędzierzyn Kożle")</f>
        <v>0</v>
      </c>
      <c r="T51" s="104">
        <f>SUMIFS('3 stopień 20_21'!$I$9:$I$765,'3 stopień 20_21'!$G$9:$G$765,D51,'3 stopień 20_21'!$K$9:$K$765,"CKZ Kluczbork")</f>
        <v>0</v>
      </c>
      <c r="U51" s="104">
        <f>SUMIFS('3 stopień 20_21'!$I$9:$I$765,'3 stopień 20_21'!$G$9:$G$765,D51,'3 stopień 20_21'!$K$9:$K$765,"CKZ Krotoszyn")</f>
        <v>0</v>
      </c>
      <c r="V51" s="104">
        <f>SUMIFS('3 stopień 20_21'!$I$9:$I$765,'3 stopień 20_21'!$G$9:$G$765,D51,'3 stopień 20_21'!$K$9:$K$765,"CKZ Olkusz")</f>
        <v>0</v>
      </c>
      <c r="W51" s="104">
        <f>SUMIFS('3 stopień 20_21'!$I$9:$I$765,'3 stopień 20_21'!$G$9:$G$765,D51,'3 stopień 20_21'!$K$9:$K$765,"CKZ Wschowa")</f>
        <v>0</v>
      </c>
      <c r="X51" s="104">
        <f>SUMIFS('3 stopień 20_21'!$I$9:$I$765,'3 stopień 20_21'!$G$9:$G$765,D51,'3 stopień 20_21'!$K$9:$K$765,"CKZ Zielona Góra")</f>
        <v>0</v>
      </c>
      <c r="Y51" s="104">
        <f>SUMIFS('3 stopień 20_21'!$I$9:$I$765,'3 stopień 20_21'!$G$9:$G$765,D51,'3 stopień 20_21'!$K$9:$K$765,"Rzemieślnicza Wałbrzych")</f>
        <v>0</v>
      </c>
      <c r="Z51" s="104">
        <f>SUMIFS('3 stopień 20_21'!$I$9:$I$765,'3 stopień 20_21'!$G$9:$G$765,D51,'3 stopień 20_21'!$K$9:$K$765,"CKZ Mosina")</f>
        <v>0</v>
      </c>
      <c r="AA51" s="104">
        <f>SUMIFS('3 stopień 20_21'!$I$9:$I$765,'3 stopień 20_21'!$G$9:$G$765,D51,'3 stopień 20_21'!$K$9:$K$765,"CKZ Opole")</f>
        <v>0</v>
      </c>
      <c r="AB51" s="104">
        <f>SUMIFS('3 stopień 20_21'!$I$9:$I$765,'3 stopień 20_21'!$G$9:$G$765,D51,'3 stopień 20_21'!$K$9:$K$765,"")</f>
        <v>0</v>
      </c>
      <c r="AC51" s="105">
        <f t="shared" si="0"/>
        <v>0</v>
      </c>
    </row>
    <row r="52" spans="2:29">
      <c r="B52" s="100" t="s">
        <v>632</v>
      </c>
      <c r="C52" s="101">
        <v>721104</v>
      </c>
      <c r="D52" s="102" t="s">
        <v>920</v>
      </c>
      <c r="E52" s="100" t="s">
        <v>836</v>
      </c>
      <c r="F52" s="103">
        <f>SUMIF('3 stopień 20_21'!G$9:G$750,D52,'3 stopień 20_21'!I$9:I$751)</f>
        <v>0</v>
      </c>
      <c r="G52" s="104">
        <f>SUMIFS('3 stopień 20_21'!$I$9:$I$765,'3 stopień 20_21'!$G$9:$G$765,D52,'3 stopień 20_21'!$K$9:$K$765,"CKZ Bielawa")</f>
        <v>0</v>
      </c>
      <c r="H52" s="104">
        <f>SUMIFS('3 stopień 20_21'!$I$9:$I$765,'3 stopień 20_21'!$G$9:$G$765,D52,'3 stopień 20_21'!$K$9:$K$765,"GCKZ Głogów")</f>
        <v>0</v>
      </c>
      <c r="I52" s="104">
        <f>SUMIFS('3 stopień 20_21'!$I$9:$I$765,'3 stopień 20_21'!$G$9:$G$765,D52,'3 stopień 20_21'!$K$9:$K$765,"CKZ Jawor")</f>
        <v>0</v>
      </c>
      <c r="J52" s="104">
        <f>SUMIFS('3 stopień 20_21'!$I$9:$I$765,'3 stopień 20_21'!$G$9:$G$765,D52,'3 stopień 20_21'!$K$9:$K$765,"JCKZ Jelenia Góra")</f>
        <v>0</v>
      </c>
      <c r="K52" s="104">
        <f>SUMIFS('3 stopień 20_21'!$I$9:$I$765,'3 stopień 20_21'!$G$9:$G$765,D52,'3 stopień 20_21'!$K$9:$K$765,"CKZ Kłodzko")</f>
        <v>0</v>
      </c>
      <c r="L52" s="104">
        <f>SUMIFS('3 stopień 20_21'!$I$9:$I$765,'3 stopień 20_21'!$G$9:$G$765,D52,'3 stopień 20_21'!$K$9:$K$765,"CKZ Legnica")</f>
        <v>0</v>
      </c>
      <c r="M52" s="104">
        <f>SUMIFS('3 stopień 20_21'!$I$9:$I$765,'3 stopień 20_21'!$G$9:$G$765,D52,'3 stopień 20_21'!$K$9:$K$765,"CKZ Oleśnica")</f>
        <v>0</v>
      </c>
      <c r="N52" s="104">
        <f>SUMIFS('3 stopień 20_21'!$I$9:$I$765,'3 stopień 20_21'!$G$9:$G$765,D52,'3 stopień 20_21'!$K$9:$K$765,"CKZ Świdnica")</f>
        <v>0</v>
      </c>
      <c r="O52" s="104">
        <f>SUMIFS('3 stopień 20_21'!$I$9:$I$765,'3 stopień 20_21'!$G$9:$G$765,D52,'3 stopień 20_21'!$K$9:$K$765,"CKZ Wołów")</f>
        <v>0</v>
      </c>
      <c r="P52" s="104">
        <f>SUMIFS('3 stopień 20_21'!$I$9:$I$765,'3 stopień 20_21'!$G$9:$G$765,D52,'3 stopień 20_21'!$K$9:$K$765,"CKZ Ziębice")</f>
        <v>0</v>
      </c>
      <c r="Q52" s="104">
        <f>SUMIFS('3 stopień 20_21'!$I$9:$I$765,'3 stopień 20_21'!$G$9:$G$765,D52,'3 stopień 20_21'!$K$9:$K$765,"CKZ Dobrodzień")</f>
        <v>0</v>
      </c>
      <c r="R52" s="104">
        <f>SUMIFS('3 stopień 20_21'!$I$9:$I$765,'3 stopień 20_21'!$G$9:$G$765,D52,'3 stopień 20_21'!$K$9:$K$765,"CKZ Głubczyce")</f>
        <v>0</v>
      </c>
      <c r="S52" s="104">
        <f>SUMIFS('3 stopień 20_21'!$I$9:$I$765,'3 stopień 20_21'!$G$9:$G$765,D52,'3 stopień 20_21'!$K$9:$K$765,"CKZ Kędzierzyn Kożle")</f>
        <v>0</v>
      </c>
      <c r="T52" s="104">
        <f>SUMIFS('3 stopień 20_21'!$I$9:$I$765,'3 stopień 20_21'!$G$9:$G$765,D52,'3 stopień 20_21'!$K$9:$K$765,"CKZ Kluczbork")</f>
        <v>0</v>
      </c>
      <c r="U52" s="104">
        <f>SUMIFS('3 stopień 20_21'!$I$9:$I$765,'3 stopień 20_21'!$G$9:$G$765,D52,'3 stopień 20_21'!$K$9:$K$765,"CKZ Krotoszyn")</f>
        <v>0</v>
      </c>
      <c r="V52" s="104">
        <f>SUMIFS('3 stopień 20_21'!$I$9:$I$765,'3 stopień 20_21'!$G$9:$G$765,D52,'3 stopień 20_21'!$K$9:$K$765,"CKZ Olkusz")</f>
        <v>0</v>
      </c>
      <c r="W52" s="104">
        <f>SUMIFS('3 stopień 20_21'!$I$9:$I$765,'3 stopień 20_21'!$G$9:$G$765,D52,'3 stopień 20_21'!$K$9:$K$765,"CKZ Wschowa")</f>
        <v>0</v>
      </c>
      <c r="X52" s="104">
        <f>SUMIFS('3 stopień 20_21'!$I$9:$I$765,'3 stopień 20_21'!$G$9:$G$765,D52,'3 stopień 20_21'!$K$9:$K$765,"CKZ Zielona Góra")</f>
        <v>0</v>
      </c>
      <c r="Y52" s="104">
        <f>SUMIFS('3 stopień 20_21'!$I$9:$I$765,'3 stopień 20_21'!$G$9:$G$765,D52,'3 stopień 20_21'!$K$9:$K$765,"Rzemieślnicza Wałbrzych")</f>
        <v>0</v>
      </c>
      <c r="Z52" s="104">
        <f>SUMIFS('3 stopień 20_21'!$I$9:$I$765,'3 stopień 20_21'!$G$9:$G$765,D52,'3 stopień 20_21'!$K$9:$K$765,"CKZ Mosina")</f>
        <v>0</v>
      </c>
      <c r="AA52" s="104">
        <f>SUMIFS('3 stopień 20_21'!$I$9:$I$765,'3 stopień 20_21'!$G$9:$G$765,D52,'3 stopień 20_21'!$K$9:$K$765,"CKZ Opole")</f>
        <v>0</v>
      </c>
      <c r="AB52" s="104">
        <f>SUMIFS('3 stopień 20_21'!$I$9:$I$765,'3 stopień 20_21'!$G$9:$G$765,D52,'3 stopień 20_21'!$K$9:$K$765,"")</f>
        <v>0</v>
      </c>
      <c r="AC52" s="105">
        <f t="shared" si="0"/>
        <v>0</v>
      </c>
    </row>
    <row r="53" spans="2:29">
      <c r="B53" s="100" t="s">
        <v>633</v>
      </c>
      <c r="C53" s="101">
        <v>812107</v>
      </c>
      <c r="D53" s="102" t="s">
        <v>921</v>
      </c>
      <c r="E53" s="100" t="s">
        <v>922</v>
      </c>
      <c r="F53" s="103">
        <f>SUMIF('3 stopień 20_21'!G$9:G$750,D53,'3 stopień 20_21'!I$9:I$751)</f>
        <v>0</v>
      </c>
      <c r="G53" s="104">
        <f>SUMIFS('3 stopień 20_21'!$I$9:$I$765,'3 stopień 20_21'!$G$9:$G$765,D53,'3 stopień 20_21'!$K$9:$K$765,"CKZ Bielawa")</f>
        <v>0</v>
      </c>
      <c r="H53" s="104">
        <f>SUMIFS('3 stopień 20_21'!$I$9:$I$765,'3 stopień 20_21'!$G$9:$G$765,D53,'3 stopień 20_21'!$K$9:$K$765,"GCKZ Głogów")</f>
        <v>0</v>
      </c>
      <c r="I53" s="104">
        <f>SUMIFS('3 stopień 20_21'!$I$9:$I$765,'3 stopień 20_21'!$G$9:$G$765,D53,'3 stopień 20_21'!$K$9:$K$765,"CKZ Jawor")</f>
        <v>0</v>
      </c>
      <c r="J53" s="104">
        <f>SUMIFS('3 stopień 20_21'!$I$9:$I$765,'3 stopień 20_21'!$G$9:$G$765,D53,'3 stopień 20_21'!$K$9:$K$765,"JCKZ Jelenia Góra")</f>
        <v>0</v>
      </c>
      <c r="K53" s="104">
        <f>SUMIFS('3 stopień 20_21'!$I$9:$I$765,'3 stopień 20_21'!$G$9:$G$765,D53,'3 stopień 20_21'!$K$9:$K$765,"CKZ Kłodzko")</f>
        <v>0</v>
      </c>
      <c r="L53" s="104">
        <f>SUMIFS('3 stopień 20_21'!$I$9:$I$765,'3 stopień 20_21'!$G$9:$G$765,D53,'3 stopień 20_21'!$K$9:$K$765,"CKZ Legnica")</f>
        <v>0</v>
      </c>
      <c r="M53" s="104">
        <f>SUMIFS('3 stopień 20_21'!$I$9:$I$765,'3 stopień 20_21'!$G$9:$G$765,D53,'3 stopień 20_21'!$K$9:$K$765,"CKZ Oleśnica")</f>
        <v>0</v>
      </c>
      <c r="N53" s="104">
        <f>SUMIFS('3 stopień 20_21'!$I$9:$I$765,'3 stopień 20_21'!$G$9:$G$765,D53,'3 stopień 20_21'!$K$9:$K$765,"CKZ Świdnica")</f>
        <v>0</v>
      </c>
      <c r="O53" s="104">
        <f>SUMIFS('3 stopień 20_21'!$I$9:$I$765,'3 stopień 20_21'!$G$9:$G$765,D53,'3 stopień 20_21'!$K$9:$K$765,"CKZ Wołów")</f>
        <v>0</v>
      </c>
      <c r="P53" s="104">
        <f>SUMIFS('3 stopień 20_21'!$I$9:$I$765,'3 stopień 20_21'!$G$9:$G$765,D53,'3 stopień 20_21'!$K$9:$K$765,"CKZ Ziębice")</f>
        <v>0</v>
      </c>
      <c r="Q53" s="104">
        <f>SUMIFS('3 stopień 20_21'!$I$9:$I$765,'3 stopień 20_21'!$G$9:$G$765,D53,'3 stopień 20_21'!$K$9:$K$765,"CKZ Dobrodzień")</f>
        <v>0</v>
      </c>
      <c r="R53" s="104">
        <f>SUMIFS('3 stopień 20_21'!$I$9:$I$765,'3 stopień 20_21'!$G$9:$G$765,D53,'3 stopień 20_21'!$K$9:$K$765,"CKZ Głubczyce")</f>
        <v>0</v>
      </c>
      <c r="S53" s="104">
        <f>SUMIFS('3 stopień 20_21'!$I$9:$I$765,'3 stopień 20_21'!$G$9:$G$765,D53,'3 stopień 20_21'!$K$9:$K$765,"CKZ Kędzierzyn Kożle")</f>
        <v>0</v>
      </c>
      <c r="T53" s="104">
        <f>SUMIFS('3 stopień 20_21'!$I$9:$I$765,'3 stopień 20_21'!$G$9:$G$765,D53,'3 stopień 20_21'!$K$9:$K$765,"CKZ Kluczbork")</f>
        <v>0</v>
      </c>
      <c r="U53" s="104">
        <f>SUMIFS('3 stopień 20_21'!$I$9:$I$765,'3 stopień 20_21'!$G$9:$G$765,D53,'3 stopień 20_21'!$K$9:$K$765,"CKZ Krotoszyn")</f>
        <v>0</v>
      </c>
      <c r="V53" s="104">
        <f>SUMIFS('3 stopień 20_21'!$I$9:$I$765,'3 stopień 20_21'!$G$9:$G$765,D53,'3 stopień 20_21'!$K$9:$K$765,"CKZ Olkusz")</f>
        <v>0</v>
      </c>
      <c r="W53" s="104">
        <f>SUMIFS('3 stopień 20_21'!$I$9:$I$765,'3 stopień 20_21'!$G$9:$G$765,D53,'3 stopień 20_21'!$K$9:$K$765,"CKZ Wschowa")</f>
        <v>0</v>
      </c>
      <c r="X53" s="104">
        <f>SUMIFS('3 stopień 20_21'!$I$9:$I$765,'3 stopień 20_21'!$G$9:$G$765,D53,'3 stopień 20_21'!$K$9:$K$765,"CKZ Zielona Góra")</f>
        <v>0</v>
      </c>
      <c r="Y53" s="104">
        <f>SUMIFS('3 stopień 20_21'!$I$9:$I$765,'3 stopień 20_21'!$G$9:$G$765,D53,'3 stopień 20_21'!$K$9:$K$765,"Rzemieślnicza Wałbrzych")</f>
        <v>0</v>
      </c>
      <c r="Z53" s="104">
        <f>SUMIFS('3 stopień 20_21'!$I$9:$I$765,'3 stopień 20_21'!$G$9:$G$765,D53,'3 stopień 20_21'!$K$9:$K$765,"CKZ Mosina")</f>
        <v>0</v>
      </c>
      <c r="AA53" s="104">
        <f>SUMIFS('3 stopień 20_21'!$I$9:$I$765,'3 stopień 20_21'!$G$9:$G$765,D53,'3 stopień 20_21'!$K$9:$K$765,"CKZ Opole")</f>
        <v>0</v>
      </c>
      <c r="AB53" s="104">
        <f>SUMIFS('3 stopień 20_21'!$I$9:$I$765,'3 stopień 20_21'!$G$9:$G$765,D53,'3 stopień 20_21'!$K$9:$K$765,"")</f>
        <v>0</v>
      </c>
      <c r="AC53" s="105">
        <f t="shared" si="0"/>
        <v>0</v>
      </c>
    </row>
    <row r="54" spans="2:29">
      <c r="B54" s="100" t="s">
        <v>85</v>
      </c>
      <c r="C54" s="101">
        <v>721306</v>
      </c>
      <c r="D54" s="101" t="s">
        <v>569</v>
      </c>
      <c r="E54" s="100" t="s">
        <v>886</v>
      </c>
      <c r="F54" s="103">
        <f>SUMIF('3 stopień 20_21'!G$9:G$750,D54,'3 stopień 20_21'!I$9:I$751)</f>
        <v>19</v>
      </c>
      <c r="G54" s="104">
        <f>SUMIFS('3 stopień 20_21'!$I$9:$I$765,'3 stopień 20_21'!$G$9:$G$765,D54,'3 stopień 20_21'!$K$9:$K$765,"CKZ Bielawa")</f>
        <v>0</v>
      </c>
      <c r="H54" s="104">
        <f>SUMIFS('3 stopień 20_21'!$I$9:$I$765,'3 stopień 20_21'!$G$9:$G$765,D54,'3 stopień 20_21'!$K$9:$K$765,"GCKZ Głogów")</f>
        <v>0</v>
      </c>
      <c r="I54" s="104">
        <f>SUMIFS('3 stopień 20_21'!$I$9:$I$765,'3 stopień 20_21'!$G$9:$G$765,D54,'3 stopień 20_21'!$K$9:$K$765,"CKZ Jawor")</f>
        <v>0</v>
      </c>
      <c r="J54" s="104">
        <f>SUMIFS('3 stopień 20_21'!$I$9:$I$765,'3 stopień 20_21'!$G$9:$G$765,D54,'3 stopień 20_21'!$K$9:$K$765,"JCKZ Jelenia Góra")</f>
        <v>0</v>
      </c>
      <c r="K54" s="104">
        <f>SUMIFS('3 stopień 20_21'!$I$9:$I$765,'3 stopień 20_21'!$G$9:$G$765,D54,'3 stopień 20_21'!$K$9:$K$765,"CKZ Kłodzko")</f>
        <v>0</v>
      </c>
      <c r="L54" s="104">
        <f>SUMIFS('3 stopień 20_21'!$I$9:$I$765,'3 stopień 20_21'!$G$9:$G$765,D54,'3 stopień 20_21'!$K$9:$K$765,"CKZ Legnica")</f>
        <v>0</v>
      </c>
      <c r="M54" s="104">
        <f>SUMIFS('3 stopień 20_21'!$I$9:$I$765,'3 stopień 20_21'!$G$9:$G$765,D54,'3 stopień 20_21'!$K$9:$K$765,"CKZ Oleśnica")</f>
        <v>0</v>
      </c>
      <c r="N54" s="104">
        <f>SUMIFS('3 stopień 20_21'!$I$9:$I$765,'3 stopień 20_21'!$G$9:$G$765,D54,'3 stopień 20_21'!$K$9:$K$765,"CKZ Świdnica")</f>
        <v>18</v>
      </c>
      <c r="O54" s="104">
        <f>SUMIFS('3 stopień 20_21'!$I$9:$I$765,'3 stopień 20_21'!$G$9:$G$765,D54,'3 stopień 20_21'!$K$9:$K$765,"CKZ Wołów")</f>
        <v>0</v>
      </c>
      <c r="P54" s="104">
        <f>SUMIFS('3 stopień 20_21'!$I$9:$I$765,'3 stopień 20_21'!$G$9:$G$765,D54,'3 stopień 20_21'!$K$9:$K$765,"CKZ Ziębice")</f>
        <v>0</v>
      </c>
      <c r="Q54" s="104">
        <f>SUMIFS('3 stopień 20_21'!$I$9:$I$765,'3 stopień 20_21'!$G$9:$G$765,D54,'3 stopień 20_21'!$K$9:$K$765,"CKZ Dobrodzień")</f>
        <v>0</v>
      </c>
      <c r="R54" s="104">
        <f>SUMIFS('3 stopień 20_21'!$I$9:$I$765,'3 stopień 20_21'!$G$9:$G$765,D54,'3 stopień 20_21'!$K$9:$K$765,"CKZ Głubczyce")</f>
        <v>0</v>
      </c>
      <c r="S54" s="104">
        <f>SUMIFS('3 stopień 20_21'!$I$9:$I$765,'3 stopień 20_21'!$G$9:$G$765,D54,'3 stopień 20_21'!$K$9:$K$765,"CKZ Kędzierzyn Kożle")</f>
        <v>0</v>
      </c>
      <c r="T54" s="104">
        <f>SUMIFS('3 stopień 20_21'!$I$9:$I$765,'3 stopień 20_21'!$G$9:$G$765,D54,'3 stopień 20_21'!$K$9:$K$765,"CKZ Kluczbork")</f>
        <v>0</v>
      </c>
      <c r="U54" s="104">
        <f>SUMIFS('3 stopień 20_21'!$I$9:$I$765,'3 stopień 20_21'!$G$9:$G$765,D54,'3 stopień 20_21'!$K$9:$K$765,"CKZ Krotoszyn")</f>
        <v>0</v>
      </c>
      <c r="V54" s="104">
        <f>SUMIFS('3 stopień 20_21'!$I$9:$I$765,'3 stopień 20_21'!$G$9:$G$765,D54,'3 stopień 20_21'!$K$9:$K$765,"CKZ Olkusz")</f>
        <v>0</v>
      </c>
      <c r="W54" s="104">
        <f>SUMIFS('3 stopień 20_21'!$I$9:$I$765,'3 stopień 20_21'!$G$9:$G$765,D54,'3 stopień 20_21'!$K$9:$K$765,"CKZ Wschowa")</f>
        <v>0</v>
      </c>
      <c r="X54" s="104">
        <f>SUMIFS('3 stopień 20_21'!$I$9:$I$765,'3 stopień 20_21'!$G$9:$G$765,D54,'3 stopień 20_21'!$K$9:$K$765,"CKZ Zielona Góra")</f>
        <v>0</v>
      </c>
      <c r="Y54" s="104">
        <f>SUMIFS('3 stopień 20_21'!$I$9:$I$765,'3 stopień 20_21'!$G$9:$G$765,D54,'3 stopień 20_21'!$K$9:$K$765,"Rzemieślnicza Wałbrzych")</f>
        <v>0</v>
      </c>
      <c r="Z54" s="104">
        <f>SUMIFS('3 stopień 20_21'!$I$9:$I$765,'3 stopień 20_21'!$G$9:$G$765,D54,'3 stopień 20_21'!$K$9:$K$765,"CKZ Mosina")</f>
        <v>0</v>
      </c>
      <c r="AA54" s="104">
        <f>SUMIFS('3 stopień 20_21'!$I$9:$I$765,'3 stopień 20_21'!$G$9:$G$765,D54,'3 stopień 20_21'!$K$9:$K$765,"CKZ Opole")</f>
        <v>1</v>
      </c>
      <c r="AB54" s="104">
        <f>SUMIFS('3 stopień 20_21'!$I$9:$I$765,'3 stopień 20_21'!$G$9:$G$765,D54,'3 stopień 20_21'!$K$9:$K$765,"")</f>
        <v>0</v>
      </c>
      <c r="AC54" s="105">
        <f t="shared" si="0"/>
        <v>19</v>
      </c>
    </row>
    <row r="55" spans="2:29" ht="13.5" customHeight="1">
      <c r="B55" s="100" t="s">
        <v>78</v>
      </c>
      <c r="C55" s="101">
        <v>741203</v>
      </c>
      <c r="D55" s="101" t="s">
        <v>232</v>
      </c>
      <c r="E55" s="100" t="s">
        <v>887</v>
      </c>
      <c r="F55" s="103">
        <f>SUMIF('3 stopień 20_21'!G$9:G$750,D55,'3 stopień 20_21'!I$9:I$751)</f>
        <v>30</v>
      </c>
      <c r="G55" s="104">
        <f>SUMIFS('3 stopień 20_21'!$I$9:$I$765,'3 stopień 20_21'!$G$9:$G$765,D55,'3 stopień 20_21'!$K$9:$K$765,"CKZ Bielawa")</f>
        <v>0</v>
      </c>
      <c r="H55" s="104">
        <f>SUMIFS('3 stopień 20_21'!$I$9:$I$765,'3 stopień 20_21'!$G$9:$G$765,D55,'3 stopień 20_21'!$K$9:$K$765,"GCKZ Głogów")</f>
        <v>0</v>
      </c>
      <c r="I55" s="104">
        <f>SUMIFS('3 stopień 20_21'!$I$9:$I$765,'3 stopień 20_21'!$G$9:$G$765,D55,'3 stopień 20_21'!$K$9:$K$765,"CKZ Jawor")</f>
        <v>0</v>
      </c>
      <c r="J55" s="104">
        <f>SUMIFS('3 stopień 20_21'!$I$9:$I$765,'3 stopień 20_21'!$G$9:$G$765,D55,'3 stopień 20_21'!$K$9:$K$765,"JCKZ Jelenia Góra")</f>
        <v>0</v>
      </c>
      <c r="K55" s="104">
        <f>SUMIFS('3 stopień 20_21'!$I$9:$I$765,'3 stopień 20_21'!$G$9:$G$765,D55,'3 stopień 20_21'!$K$9:$K$765,"CKZ Kłodzko")</f>
        <v>0</v>
      </c>
      <c r="L55" s="104">
        <f>SUMIFS('3 stopień 20_21'!$I$9:$I$765,'3 stopień 20_21'!$G$9:$G$765,D55,'3 stopień 20_21'!$K$9:$K$765,"CKZ Legnica")</f>
        <v>0</v>
      </c>
      <c r="M55" s="104">
        <f>SUMIFS('3 stopień 20_21'!$I$9:$I$765,'3 stopień 20_21'!$G$9:$G$765,D55,'3 stopień 20_21'!$K$9:$K$765,"CKZ Oleśnica")</f>
        <v>0</v>
      </c>
      <c r="N55" s="104">
        <f>SUMIFS('3 stopień 20_21'!$I$9:$I$765,'3 stopień 20_21'!$G$9:$G$765,D55,'3 stopień 20_21'!$K$9:$K$765,"CKZ Świdnica")</f>
        <v>26</v>
      </c>
      <c r="O55" s="104">
        <f>SUMIFS('3 stopień 20_21'!$I$9:$I$765,'3 stopień 20_21'!$G$9:$G$765,D55,'3 stopień 20_21'!$K$9:$K$765,"CKZ Wołów")</f>
        <v>0</v>
      </c>
      <c r="P55" s="104">
        <f>SUMIFS('3 stopień 20_21'!$I$9:$I$765,'3 stopień 20_21'!$G$9:$G$765,D55,'3 stopień 20_21'!$K$9:$K$765,"CKZ Ziębice")</f>
        <v>0</v>
      </c>
      <c r="Q55" s="104">
        <f>SUMIFS('3 stopień 20_21'!$I$9:$I$765,'3 stopień 20_21'!$G$9:$G$765,D55,'3 stopień 20_21'!$K$9:$K$765,"CKZ Dobrodzień")</f>
        <v>0</v>
      </c>
      <c r="R55" s="104">
        <f>SUMIFS('3 stopień 20_21'!$I$9:$I$765,'3 stopień 20_21'!$G$9:$G$765,D55,'3 stopień 20_21'!$K$9:$K$765,"CKZ Głubczyce")</f>
        <v>0</v>
      </c>
      <c r="S55" s="104">
        <f>SUMIFS('3 stopień 20_21'!$I$9:$I$765,'3 stopień 20_21'!$G$9:$G$765,D55,'3 stopień 20_21'!$K$9:$K$765,"CKZ Kędzierzyn Kożle")</f>
        <v>0</v>
      </c>
      <c r="T55" s="104">
        <f>SUMIFS('3 stopień 20_21'!$I$9:$I$765,'3 stopień 20_21'!$G$9:$G$765,D55,'3 stopień 20_21'!$K$9:$K$765,"CKZ Kluczbork")</f>
        <v>0</v>
      </c>
      <c r="U55" s="104">
        <f>SUMIFS('3 stopień 20_21'!$I$9:$I$765,'3 stopień 20_21'!$G$9:$G$765,D55,'3 stopień 20_21'!$K$9:$K$765,"CKZ Krotoszyn")</f>
        <v>0</v>
      </c>
      <c r="V55" s="104">
        <f>SUMIFS('3 stopień 20_21'!$I$9:$I$765,'3 stopień 20_21'!$G$9:$G$765,D55,'3 stopień 20_21'!$K$9:$K$765,"CKZ Olkusz")</f>
        <v>0</v>
      </c>
      <c r="W55" s="104">
        <f>SUMIFS('3 stopień 20_21'!$I$9:$I$765,'3 stopień 20_21'!$G$9:$G$765,D55,'3 stopień 20_21'!$K$9:$K$765,"CKZ Wschowa")</f>
        <v>4</v>
      </c>
      <c r="X55" s="104">
        <f>SUMIFS('3 stopień 20_21'!$I$9:$I$765,'3 stopień 20_21'!$G$9:$G$765,D55,'3 stopień 20_21'!$K$9:$K$765,"CKZ Zielona Góra")</f>
        <v>0</v>
      </c>
      <c r="Y55" s="104">
        <f>SUMIFS('3 stopień 20_21'!$I$9:$I$765,'3 stopień 20_21'!$G$9:$G$765,D55,'3 stopień 20_21'!$K$9:$K$765,"Rzemieślnicza Wałbrzych")</f>
        <v>0</v>
      </c>
      <c r="Z55" s="104">
        <f>SUMIFS('3 stopień 20_21'!$I$9:$I$765,'3 stopień 20_21'!$G$9:$G$765,D55,'3 stopień 20_21'!$K$9:$K$765,"CKZ Mosina")</f>
        <v>0</v>
      </c>
      <c r="AA55" s="104">
        <f>SUMIFS('3 stopień 20_21'!$I$9:$I$765,'3 stopień 20_21'!$G$9:$G$765,D55,'3 stopień 20_21'!$K$9:$K$765,"CKZ Opole")</f>
        <v>0</v>
      </c>
      <c r="AB55" s="104">
        <f>SUMIFS('3 stopień 20_21'!$I$9:$I$765,'3 stopień 20_21'!$G$9:$G$765,D55,'3 stopień 20_21'!$K$9:$K$765,"")</f>
        <v>0</v>
      </c>
      <c r="AC55" s="105">
        <f t="shared" si="0"/>
        <v>30</v>
      </c>
    </row>
    <row r="56" spans="2:29">
      <c r="B56" s="100" t="s">
        <v>521</v>
      </c>
      <c r="C56" s="101">
        <v>713203</v>
      </c>
      <c r="D56" s="101" t="s">
        <v>209</v>
      </c>
      <c r="E56" s="100" t="s">
        <v>888</v>
      </c>
      <c r="F56" s="103">
        <f>SUMIF('3 stopień 20_21'!G$9:G$750,D56,'3 stopień 20_21'!I$9:I$751)</f>
        <v>19</v>
      </c>
      <c r="G56" s="104">
        <f>SUMIFS('3 stopień 20_21'!$I$9:$I$765,'3 stopień 20_21'!$G$9:$G$765,D56,'3 stopień 20_21'!$K$9:$K$765,"CKZ Bielawa")</f>
        <v>0</v>
      </c>
      <c r="H56" s="104">
        <f>SUMIFS('3 stopień 20_21'!$I$9:$I$765,'3 stopień 20_21'!$G$9:$G$765,D56,'3 stopień 20_21'!$K$9:$K$765,"GCKZ Głogów")</f>
        <v>0</v>
      </c>
      <c r="I56" s="104">
        <f>SUMIFS('3 stopień 20_21'!$I$9:$I$765,'3 stopień 20_21'!$G$9:$G$765,D56,'3 stopień 20_21'!$K$9:$K$765,"CKZ Jawor")</f>
        <v>0</v>
      </c>
      <c r="J56" s="104">
        <f>SUMIFS('3 stopień 20_21'!$I$9:$I$765,'3 stopień 20_21'!$G$9:$G$765,D56,'3 stopień 20_21'!$K$9:$K$765,"JCKZ Jelenia Góra")</f>
        <v>0</v>
      </c>
      <c r="K56" s="104">
        <f>SUMIFS('3 stopień 20_21'!$I$9:$I$765,'3 stopień 20_21'!$G$9:$G$765,D56,'3 stopień 20_21'!$K$9:$K$765,"CKZ Kłodzko")</f>
        <v>0</v>
      </c>
      <c r="L56" s="104">
        <f>SUMIFS('3 stopień 20_21'!$I$9:$I$765,'3 stopień 20_21'!$G$9:$G$765,D56,'3 stopień 20_21'!$K$9:$K$765,"CKZ Legnica")</f>
        <v>0</v>
      </c>
      <c r="M56" s="104">
        <f>SUMIFS('3 stopień 20_21'!$I$9:$I$765,'3 stopień 20_21'!$G$9:$G$765,D56,'3 stopień 20_21'!$K$9:$K$765,"CKZ Oleśnica")</f>
        <v>0</v>
      </c>
      <c r="N56" s="104">
        <f>SUMIFS('3 stopień 20_21'!$I$9:$I$765,'3 stopień 20_21'!$G$9:$G$765,D56,'3 stopień 20_21'!$K$9:$K$765,"CKZ Świdnica")</f>
        <v>16</v>
      </c>
      <c r="O56" s="104">
        <f>SUMIFS('3 stopień 20_21'!$I$9:$I$765,'3 stopień 20_21'!$G$9:$G$765,D56,'3 stopień 20_21'!$K$9:$K$765,"CKZ Wołów")</f>
        <v>0</v>
      </c>
      <c r="P56" s="104">
        <f>SUMIFS('3 stopień 20_21'!$I$9:$I$765,'3 stopień 20_21'!$G$9:$G$765,D56,'3 stopień 20_21'!$K$9:$K$765,"CKZ Ziębice")</f>
        <v>0</v>
      </c>
      <c r="Q56" s="104">
        <f>SUMIFS('3 stopień 20_21'!$I$9:$I$765,'3 stopień 20_21'!$G$9:$G$765,D56,'3 stopień 20_21'!$K$9:$K$765,"CKZ Dobrodzień")</f>
        <v>0</v>
      </c>
      <c r="R56" s="104">
        <f>SUMIFS('3 stopień 20_21'!$I$9:$I$765,'3 stopień 20_21'!$G$9:$G$765,D56,'3 stopień 20_21'!$K$9:$K$765,"CKZ Głubczyce")</f>
        <v>0</v>
      </c>
      <c r="S56" s="104">
        <f>SUMIFS('3 stopień 20_21'!$I$9:$I$765,'3 stopień 20_21'!$G$9:$G$765,D56,'3 stopień 20_21'!$K$9:$K$765,"CKZ Kędzierzyn Kożle")</f>
        <v>0</v>
      </c>
      <c r="T56" s="104">
        <f>SUMIFS('3 stopień 20_21'!$I$9:$I$765,'3 stopień 20_21'!$G$9:$G$765,D56,'3 stopień 20_21'!$K$9:$K$765,"CKZ Kluczbork")</f>
        <v>0</v>
      </c>
      <c r="U56" s="104">
        <f>SUMIFS('3 stopień 20_21'!$I$9:$I$765,'3 stopień 20_21'!$G$9:$G$765,D56,'3 stopień 20_21'!$K$9:$K$765,"CKZ Krotoszyn")</f>
        <v>0</v>
      </c>
      <c r="V56" s="104">
        <f>SUMIFS('3 stopień 20_21'!$I$9:$I$765,'3 stopień 20_21'!$G$9:$G$765,D56,'3 stopień 20_21'!$K$9:$K$765,"CKZ Olkusz")</f>
        <v>0</v>
      </c>
      <c r="W56" s="104">
        <f>SUMIFS('3 stopień 20_21'!$I$9:$I$765,'3 stopień 20_21'!$G$9:$G$765,D56,'3 stopień 20_21'!$K$9:$K$765,"CKZ Wschowa")</f>
        <v>1</v>
      </c>
      <c r="X56" s="104">
        <f>SUMIFS('3 stopień 20_21'!$I$9:$I$765,'3 stopień 20_21'!$G$9:$G$765,D56,'3 stopień 20_21'!$K$9:$K$765,"CKZ Zielona Góra")</f>
        <v>2</v>
      </c>
      <c r="Y56" s="104">
        <f>SUMIFS('3 stopień 20_21'!$I$9:$I$765,'3 stopień 20_21'!$G$9:$G$765,D56,'3 stopień 20_21'!$K$9:$K$765,"Rzemieślnicza Wałbrzych")</f>
        <v>0</v>
      </c>
      <c r="Z56" s="104">
        <f>SUMIFS('3 stopień 20_21'!$I$9:$I$765,'3 stopień 20_21'!$G$9:$G$765,D56,'3 stopień 20_21'!$K$9:$K$765,"CKZ Mosina")</f>
        <v>0</v>
      </c>
      <c r="AA56" s="104">
        <f>SUMIFS('3 stopień 20_21'!$I$9:$I$765,'3 stopień 20_21'!$G$9:$G$765,D56,'3 stopień 20_21'!$K$9:$K$765,"CKZ Opole")</f>
        <v>0</v>
      </c>
      <c r="AB56" s="104">
        <f>SUMIFS('3 stopień 20_21'!$I$9:$I$765,'3 stopień 20_21'!$G$9:$G$765,D56,'3 stopień 20_21'!$K$9:$K$765,"")</f>
        <v>0</v>
      </c>
      <c r="AC56" s="105">
        <f t="shared" si="0"/>
        <v>19</v>
      </c>
    </row>
    <row r="57" spans="2:29">
      <c r="B57" s="100" t="s">
        <v>635</v>
      </c>
      <c r="C57" s="101">
        <v>723107</v>
      </c>
      <c r="D57" s="101" t="s">
        <v>889</v>
      </c>
      <c r="E57" s="100" t="s">
        <v>824</v>
      </c>
      <c r="F57" s="103">
        <f>SUMIF('3 stopień 20_21'!G$9:G$750,D57,'3 stopień 20_21'!I$9:I$751)</f>
        <v>0</v>
      </c>
      <c r="G57" s="104">
        <f>SUMIFS('3 stopień 20_21'!$I$9:$I$765,'3 stopień 20_21'!$G$9:$G$765,D57,'3 stopień 20_21'!$K$9:$K$765,"CKZ Bielawa")</f>
        <v>0</v>
      </c>
      <c r="H57" s="104">
        <f>SUMIFS('3 stopień 20_21'!$I$9:$I$765,'3 stopień 20_21'!$G$9:$G$765,D57,'3 stopień 20_21'!$K$9:$K$765,"GCKZ Głogów")</f>
        <v>0</v>
      </c>
      <c r="I57" s="104">
        <f>SUMIFS('3 stopień 20_21'!$I$9:$I$765,'3 stopień 20_21'!$G$9:$G$765,D57,'3 stopień 20_21'!$K$9:$K$765,"CKZ Jawor")</f>
        <v>0</v>
      </c>
      <c r="J57" s="104">
        <f>SUMIFS('3 stopień 20_21'!$I$9:$I$765,'3 stopień 20_21'!$G$9:$G$765,D57,'3 stopień 20_21'!$K$9:$K$765,"JCKZ Jelenia Góra")</f>
        <v>0</v>
      </c>
      <c r="K57" s="104">
        <f>SUMIFS('3 stopień 20_21'!$I$9:$I$765,'3 stopień 20_21'!$G$9:$G$765,D57,'3 stopień 20_21'!$K$9:$K$765,"CKZ Kłodzko")</f>
        <v>0</v>
      </c>
      <c r="L57" s="104">
        <f>SUMIFS('3 stopień 20_21'!$I$9:$I$765,'3 stopień 20_21'!$G$9:$G$765,D57,'3 stopień 20_21'!$K$9:$K$765,"CKZ Legnica")</f>
        <v>0</v>
      </c>
      <c r="M57" s="104">
        <f>SUMIFS('3 stopień 20_21'!$I$9:$I$765,'3 stopień 20_21'!$G$9:$G$765,D57,'3 stopień 20_21'!$K$9:$K$765,"CKZ Oleśnica")</f>
        <v>0</v>
      </c>
      <c r="N57" s="104">
        <f>SUMIFS('3 stopień 20_21'!$I$9:$I$765,'3 stopień 20_21'!$G$9:$G$765,D57,'3 stopień 20_21'!$K$9:$K$765,"CKZ Świdnica")</f>
        <v>0</v>
      </c>
      <c r="O57" s="104">
        <f>SUMIFS('3 stopień 20_21'!$I$9:$I$765,'3 stopień 20_21'!$G$9:$G$765,D57,'3 stopień 20_21'!$K$9:$K$765,"CKZ Wołów")</f>
        <v>0</v>
      </c>
      <c r="P57" s="104">
        <f>SUMIFS('3 stopień 20_21'!$I$9:$I$765,'3 stopień 20_21'!$G$9:$G$765,D57,'3 stopień 20_21'!$K$9:$K$765,"CKZ Ziębice")</f>
        <v>0</v>
      </c>
      <c r="Q57" s="104">
        <f>SUMIFS('3 stopień 20_21'!$I$9:$I$765,'3 stopień 20_21'!$G$9:$G$765,D57,'3 stopień 20_21'!$K$9:$K$765,"CKZ Dobrodzień")</f>
        <v>0</v>
      </c>
      <c r="R57" s="104">
        <f>SUMIFS('3 stopień 20_21'!$I$9:$I$765,'3 stopień 20_21'!$G$9:$G$765,D57,'3 stopień 20_21'!$K$9:$K$765,"CKZ Głubczyce")</f>
        <v>0</v>
      </c>
      <c r="S57" s="104">
        <f>SUMIFS('3 stopień 20_21'!$I$9:$I$765,'3 stopień 20_21'!$G$9:$G$765,D57,'3 stopień 20_21'!$K$9:$K$765,"CKZ Kędzierzyn Kożle")</f>
        <v>0</v>
      </c>
      <c r="T57" s="104">
        <f>SUMIFS('3 stopień 20_21'!$I$9:$I$765,'3 stopień 20_21'!$G$9:$G$765,D57,'3 stopień 20_21'!$K$9:$K$765,"CKZ Kluczbork")</f>
        <v>0</v>
      </c>
      <c r="U57" s="104">
        <f>SUMIFS('3 stopień 20_21'!$I$9:$I$765,'3 stopień 20_21'!$G$9:$G$765,D57,'3 stopień 20_21'!$K$9:$K$765,"CKZ Krotoszyn")</f>
        <v>0</v>
      </c>
      <c r="V57" s="104">
        <f>SUMIFS('3 stopień 20_21'!$I$9:$I$765,'3 stopień 20_21'!$G$9:$G$765,D57,'3 stopień 20_21'!$K$9:$K$765,"CKZ Olkusz")</f>
        <v>0</v>
      </c>
      <c r="W57" s="104">
        <f>SUMIFS('3 stopień 20_21'!$I$9:$I$765,'3 stopień 20_21'!$G$9:$G$765,D57,'3 stopień 20_21'!$K$9:$K$765,"CKZ Wschowa")</f>
        <v>0</v>
      </c>
      <c r="X57" s="104">
        <f>SUMIFS('3 stopień 20_21'!$I$9:$I$765,'3 stopień 20_21'!$G$9:$G$765,D57,'3 stopień 20_21'!$K$9:$K$765,"CKZ Zielona Góra")</f>
        <v>0</v>
      </c>
      <c r="Y57" s="104">
        <f>SUMIFS('3 stopień 20_21'!$I$9:$I$765,'3 stopień 20_21'!$G$9:$G$765,D57,'3 stopień 20_21'!$K$9:$K$765,"Rzemieślnicza Wałbrzych")</f>
        <v>0</v>
      </c>
      <c r="Z57" s="104">
        <f>SUMIFS('3 stopień 20_21'!$I$9:$I$765,'3 stopień 20_21'!$G$9:$G$765,D57,'3 stopień 20_21'!$K$9:$K$765,"CKZ Mosina")</f>
        <v>0</v>
      </c>
      <c r="AA57" s="104">
        <f>SUMIFS('3 stopień 20_21'!$I$9:$I$765,'3 stopień 20_21'!$G$9:$G$765,D57,'3 stopień 20_21'!$K$9:$K$765,"CKZ Opole")</f>
        <v>0</v>
      </c>
      <c r="AB57" s="104">
        <f>SUMIFS('3 stopień 20_21'!$I$9:$I$765,'3 stopień 20_21'!$G$9:$G$765,D57,'3 stopień 20_21'!$K$9:$K$765,"")</f>
        <v>0</v>
      </c>
      <c r="AC57" s="105">
        <f t="shared" si="0"/>
        <v>0</v>
      </c>
    </row>
    <row r="58" spans="2:29">
      <c r="B58" s="100" t="s">
        <v>74</v>
      </c>
      <c r="C58" s="101">
        <v>723103</v>
      </c>
      <c r="D58" s="101" t="s">
        <v>201</v>
      </c>
      <c r="E58" s="100" t="s">
        <v>890</v>
      </c>
      <c r="F58" s="103">
        <f>SUMIF('3 stopień 20_21'!G$9:G$750,D58,'3 stopień 20_21'!I$9:I$751)</f>
        <v>146</v>
      </c>
      <c r="G58" s="104">
        <f>SUMIFS('3 stopień 20_21'!$I$9:$I$765,'3 stopień 20_21'!$G$9:$G$765,D58,'3 stopień 20_21'!$K$9:$K$765,"CKZ Bielawa")</f>
        <v>9</v>
      </c>
      <c r="H58" s="104">
        <f>SUMIFS('3 stopień 20_21'!$I$9:$I$765,'3 stopień 20_21'!$G$9:$G$765,D58,'3 stopień 20_21'!$K$9:$K$765,"GCKZ Głogów")</f>
        <v>0</v>
      </c>
      <c r="I58" s="104">
        <f>SUMIFS('3 stopień 20_21'!$I$9:$I$765,'3 stopień 20_21'!$G$9:$G$765,D58,'3 stopień 20_21'!$K$9:$K$765,"CKZ Jawor")</f>
        <v>0</v>
      </c>
      <c r="J58" s="104">
        <f>SUMIFS('3 stopień 20_21'!$I$9:$I$765,'3 stopień 20_21'!$G$9:$G$765,D58,'3 stopień 20_21'!$K$9:$K$765,"JCKZ Jelenia Góra")</f>
        <v>11</v>
      </c>
      <c r="K58" s="104">
        <f>SUMIFS('3 stopień 20_21'!$I$9:$I$765,'3 stopień 20_21'!$G$9:$G$765,D58,'3 stopień 20_21'!$K$9:$K$765,"CKZ Kłodzko")</f>
        <v>24</v>
      </c>
      <c r="L58" s="104">
        <f>SUMIFS('3 stopień 20_21'!$I$9:$I$765,'3 stopień 20_21'!$G$9:$G$765,D58,'3 stopień 20_21'!$K$9:$K$765,"CKZ Legnica")</f>
        <v>0</v>
      </c>
      <c r="M58" s="104">
        <f>SUMIFS('3 stopień 20_21'!$I$9:$I$765,'3 stopień 20_21'!$G$9:$G$765,D58,'3 stopień 20_21'!$K$9:$K$765,"CKZ Oleśnica")</f>
        <v>25</v>
      </c>
      <c r="N58" s="104">
        <f>SUMIFS('3 stopień 20_21'!$I$9:$I$765,'3 stopień 20_21'!$G$9:$G$765,D58,'3 stopień 20_21'!$K$9:$K$765,"CKZ Świdnica")</f>
        <v>32</v>
      </c>
      <c r="O58" s="104">
        <f>SUMIFS('3 stopień 20_21'!$I$9:$I$765,'3 stopień 20_21'!$G$9:$G$765,D58,'3 stopień 20_21'!$K$9:$K$765,"CKZ Wołów")</f>
        <v>14</v>
      </c>
      <c r="P58" s="104">
        <f>SUMIFS('3 stopień 20_21'!$I$9:$I$765,'3 stopień 20_21'!$G$9:$G$765,D58,'3 stopień 20_21'!$K$9:$K$765,"CKZ Ziębice")</f>
        <v>25</v>
      </c>
      <c r="Q58" s="104">
        <f>SUMIFS('3 stopień 20_21'!$I$9:$I$765,'3 stopień 20_21'!$G$9:$G$765,D58,'3 stopień 20_21'!$K$9:$K$765,"CKZ Dobrodzień")</f>
        <v>0</v>
      </c>
      <c r="R58" s="104">
        <f>SUMIFS('3 stopień 20_21'!$I$9:$I$765,'3 stopień 20_21'!$G$9:$G$765,D58,'3 stopień 20_21'!$K$9:$K$765,"CKZ Głubczyce")</f>
        <v>0</v>
      </c>
      <c r="S58" s="104">
        <f>SUMIFS('3 stopień 20_21'!$I$9:$I$765,'3 stopień 20_21'!$G$9:$G$765,D58,'3 stopień 20_21'!$K$9:$K$765,"CKZ Kędzierzyn Kożle")</f>
        <v>0</v>
      </c>
      <c r="T58" s="104">
        <f>SUMIFS('3 stopień 20_21'!$I$9:$I$765,'3 stopień 20_21'!$G$9:$G$765,D58,'3 stopień 20_21'!$K$9:$K$765,"CKZ Kluczbork")</f>
        <v>0</v>
      </c>
      <c r="U58" s="104">
        <f>SUMIFS('3 stopień 20_21'!$I$9:$I$765,'3 stopień 20_21'!$G$9:$G$765,D58,'3 stopień 20_21'!$K$9:$K$765,"CKZ Krotoszyn")</f>
        <v>0</v>
      </c>
      <c r="V58" s="104">
        <f>SUMIFS('3 stopień 20_21'!$I$9:$I$765,'3 stopień 20_21'!$G$9:$G$765,D58,'3 stopień 20_21'!$K$9:$K$765,"CKZ Olkusz")</f>
        <v>0</v>
      </c>
      <c r="W58" s="104">
        <f>SUMIFS('3 stopień 20_21'!$I$9:$I$765,'3 stopień 20_21'!$G$9:$G$765,D58,'3 stopień 20_21'!$K$9:$K$765,"CKZ Wschowa")</f>
        <v>6</v>
      </c>
      <c r="X58" s="104">
        <f>SUMIFS('3 stopień 20_21'!$I$9:$I$765,'3 stopień 20_21'!$G$9:$G$765,D58,'3 stopień 20_21'!$K$9:$K$765,"CKZ Zielona Góra")</f>
        <v>0</v>
      </c>
      <c r="Y58" s="104">
        <f>SUMIFS('3 stopień 20_21'!$I$9:$I$765,'3 stopień 20_21'!$G$9:$G$765,D58,'3 stopień 20_21'!$K$9:$K$765,"Rzemieślnicza Wałbrzych")</f>
        <v>0</v>
      </c>
      <c r="Z58" s="104">
        <f>SUMIFS('3 stopień 20_21'!$I$9:$I$765,'3 stopień 20_21'!$G$9:$G$765,D58,'3 stopień 20_21'!$K$9:$K$765,"CKZ Mosina")</f>
        <v>0</v>
      </c>
      <c r="AA58" s="104">
        <f>SUMIFS('3 stopień 20_21'!$I$9:$I$765,'3 stopień 20_21'!$G$9:$G$765,D58,'3 stopień 20_21'!$K$9:$K$765,"CKZ Opole")</f>
        <v>0</v>
      </c>
      <c r="AB58" s="104">
        <f>SUMIFS('3 stopień 20_21'!$I$9:$I$765,'3 stopień 20_21'!$G$9:$G$765,D58,'3 stopień 20_21'!$K$9:$K$765,"")</f>
        <v>0</v>
      </c>
      <c r="AC58" s="105">
        <f t="shared" si="0"/>
        <v>146</v>
      </c>
    </row>
    <row r="59" spans="2:29">
      <c r="B59" s="100" t="s">
        <v>636</v>
      </c>
      <c r="C59" s="101">
        <v>611303</v>
      </c>
      <c r="D59" s="102" t="s">
        <v>923</v>
      </c>
      <c r="E59" s="100" t="s">
        <v>820</v>
      </c>
      <c r="F59" s="103">
        <f>SUMIF('3 stopień 20_21'!G$9:G$750,D59,'3 stopień 20_21'!I$9:I$751)</f>
        <v>0</v>
      </c>
      <c r="G59" s="104">
        <f>SUMIFS('3 stopień 20_21'!$I$9:$I$765,'3 stopień 20_21'!$G$9:$G$765,D59,'3 stopień 20_21'!$K$9:$K$765,"CKZ Bielawa")</f>
        <v>0</v>
      </c>
      <c r="H59" s="104">
        <f>SUMIFS('3 stopień 20_21'!$I$9:$I$765,'3 stopień 20_21'!$G$9:$G$765,D59,'3 stopień 20_21'!$K$9:$K$765,"GCKZ Głogów")</f>
        <v>0</v>
      </c>
      <c r="I59" s="104">
        <f>SUMIFS('3 stopień 20_21'!$I$9:$I$765,'3 stopień 20_21'!$G$9:$G$765,D59,'3 stopień 20_21'!$K$9:$K$765,"CKZ Jawor")</f>
        <v>0</v>
      </c>
      <c r="J59" s="104">
        <f>SUMIFS('3 stopień 20_21'!$I$9:$I$765,'3 stopień 20_21'!$G$9:$G$765,D59,'3 stopień 20_21'!$K$9:$K$765,"JCKZ Jelenia Góra")</f>
        <v>0</v>
      </c>
      <c r="K59" s="104">
        <f>SUMIFS('3 stopień 20_21'!$I$9:$I$765,'3 stopień 20_21'!$G$9:$G$765,D59,'3 stopień 20_21'!$K$9:$K$765,"CKZ Kłodzko")</f>
        <v>0</v>
      </c>
      <c r="L59" s="104">
        <f>SUMIFS('3 stopień 20_21'!$I$9:$I$765,'3 stopień 20_21'!$G$9:$G$765,D59,'3 stopień 20_21'!$K$9:$K$765,"CKZ Legnica")</f>
        <v>0</v>
      </c>
      <c r="M59" s="104">
        <f>SUMIFS('3 stopień 20_21'!$I$9:$I$765,'3 stopień 20_21'!$G$9:$G$765,D59,'3 stopień 20_21'!$K$9:$K$765,"CKZ Oleśnica")</f>
        <v>0</v>
      </c>
      <c r="N59" s="104">
        <f>SUMIFS('3 stopień 20_21'!$I$9:$I$765,'3 stopień 20_21'!$G$9:$G$765,D59,'3 stopień 20_21'!$K$9:$K$765,"CKZ Świdnica")</f>
        <v>0</v>
      </c>
      <c r="O59" s="104">
        <f>SUMIFS('3 stopień 20_21'!$I$9:$I$765,'3 stopień 20_21'!$G$9:$G$765,D59,'3 stopień 20_21'!$K$9:$K$765,"CKZ Wołów")</f>
        <v>0</v>
      </c>
      <c r="P59" s="104">
        <f>SUMIFS('3 stopień 20_21'!$I$9:$I$765,'3 stopień 20_21'!$G$9:$G$765,D59,'3 stopień 20_21'!$K$9:$K$765,"CKZ Ziębice")</f>
        <v>0</v>
      </c>
      <c r="Q59" s="104">
        <f>SUMIFS('3 stopień 20_21'!$I$9:$I$765,'3 stopień 20_21'!$G$9:$G$765,D59,'3 stopień 20_21'!$K$9:$K$765,"CKZ Dobrodzień")</f>
        <v>0</v>
      </c>
      <c r="R59" s="104">
        <f>SUMIFS('3 stopień 20_21'!$I$9:$I$765,'3 stopień 20_21'!$G$9:$G$765,D59,'3 stopień 20_21'!$K$9:$K$765,"CKZ Głubczyce")</f>
        <v>0</v>
      </c>
      <c r="S59" s="104">
        <f>SUMIFS('3 stopień 20_21'!$I$9:$I$765,'3 stopień 20_21'!$G$9:$G$765,D59,'3 stopień 20_21'!$K$9:$K$765,"CKZ Kędzierzyn Kożle")</f>
        <v>0</v>
      </c>
      <c r="T59" s="104">
        <f>SUMIFS('3 stopień 20_21'!$I$9:$I$765,'3 stopień 20_21'!$G$9:$G$765,D59,'3 stopień 20_21'!$K$9:$K$765,"CKZ Kluczbork")</f>
        <v>0</v>
      </c>
      <c r="U59" s="104">
        <f>SUMIFS('3 stopień 20_21'!$I$9:$I$765,'3 stopień 20_21'!$G$9:$G$765,D59,'3 stopień 20_21'!$K$9:$K$765,"CKZ Krotoszyn")</f>
        <v>0</v>
      </c>
      <c r="V59" s="104">
        <f>SUMIFS('3 stopień 20_21'!$I$9:$I$765,'3 stopień 20_21'!$G$9:$G$765,D59,'3 stopień 20_21'!$K$9:$K$765,"CKZ Olkusz")</f>
        <v>0</v>
      </c>
      <c r="W59" s="104">
        <f>SUMIFS('3 stopień 20_21'!$I$9:$I$765,'3 stopień 20_21'!$G$9:$G$765,D59,'3 stopień 20_21'!$K$9:$K$765,"CKZ Wschowa")</f>
        <v>0</v>
      </c>
      <c r="X59" s="104">
        <f>SUMIFS('3 stopień 20_21'!$I$9:$I$765,'3 stopień 20_21'!$G$9:$G$765,D59,'3 stopień 20_21'!$K$9:$K$765,"CKZ Zielona Góra")</f>
        <v>0</v>
      </c>
      <c r="Y59" s="104">
        <f>SUMIFS('3 stopień 20_21'!$I$9:$I$765,'3 stopień 20_21'!$G$9:$G$765,D59,'3 stopień 20_21'!$K$9:$K$765,"Rzemieślnicza Wałbrzych")</f>
        <v>0</v>
      </c>
      <c r="Z59" s="104">
        <f>SUMIFS('3 stopień 20_21'!$I$9:$I$765,'3 stopień 20_21'!$G$9:$G$765,D59,'3 stopień 20_21'!$K$9:$K$765,"CKZ Mosina")</f>
        <v>0</v>
      </c>
      <c r="AA59" s="104">
        <f>SUMIFS('3 stopień 20_21'!$I$9:$I$765,'3 stopień 20_21'!$G$9:$G$765,D59,'3 stopień 20_21'!$K$9:$K$765,"CKZ Opole")</f>
        <v>0</v>
      </c>
      <c r="AB59" s="104">
        <f>SUMIFS('3 stopień 20_21'!$I$9:$I$765,'3 stopień 20_21'!$G$9:$G$765,D59,'3 stopień 20_21'!$K$9:$K$765,"")</f>
        <v>0</v>
      </c>
      <c r="AC59" s="105">
        <f t="shared" si="0"/>
        <v>0</v>
      </c>
    </row>
    <row r="60" spans="2:29">
      <c r="B60" s="100" t="s">
        <v>891</v>
      </c>
      <c r="C60" s="101">
        <v>723201</v>
      </c>
      <c r="D60" s="101" t="s">
        <v>859</v>
      </c>
      <c r="E60" s="100" t="s">
        <v>892</v>
      </c>
      <c r="F60" s="103">
        <f>SUMIF('3 stopień 20_21'!G$9:G$750,D60,'3 stopień 20_21'!I$9:I$751)</f>
        <v>1</v>
      </c>
      <c r="G60" s="104">
        <f>SUMIFS('3 stopień 20_21'!$I$9:$I$765,'3 stopień 20_21'!$G$9:$G$765,D60,'3 stopień 20_21'!$K$9:$K$765,"CKZ Bielawa")</f>
        <v>0</v>
      </c>
      <c r="H60" s="104">
        <f>SUMIFS('3 stopień 20_21'!$I$9:$I$765,'3 stopień 20_21'!$G$9:$G$765,D60,'3 stopień 20_21'!$K$9:$K$765,"GCKZ Głogów")</f>
        <v>0</v>
      </c>
      <c r="I60" s="104">
        <f>SUMIFS('3 stopień 20_21'!$I$9:$I$765,'3 stopień 20_21'!$G$9:$G$765,D60,'3 stopień 20_21'!$K$9:$K$765,"CKZ Jawor")</f>
        <v>0</v>
      </c>
      <c r="J60" s="104">
        <f>SUMIFS('3 stopień 20_21'!$I$9:$I$765,'3 stopień 20_21'!$G$9:$G$765,D60,'3 stopień 20_21'!$K$9:$K$765,"JCKZ Jelenia Góra")</f>
        <v>0</v>
      </c>
      <c r="K60" s="104">
        <f>SUMIFS('3 stopień 20_21'!$I$9:$I$765,'3 stopień 20_21'!$G$9:$G$765,D60,'3 stopień 20_21'!$K$9:$K$765,"CKZ Kłodzko")</f>
        <v>0</v>
      </c>
      <c r="L60" s="104">
        <f>SUMIFS('3 stopień 20_21'!$I$9:$I$765,'3 stopień 20_21'!$G$9:$G$765,D60,'3 stopień 20_21'!$K$9:$K$765,"CKZ Legnica")</f>
        <v>0</v>
      </c>
      <c r="M60" s="104">
        <f>SUMIFS('3 stopień 20_21'!$I$9:$I$765,'3 stopień 20_21'!$G$9:$G$765,D60,'3 stopień 20_21'!$K$9:$K$765,"CKZ Oleśnica")</f>
        <v>0</v>
      </c>
      <c r="N60" s="104">
        <f>SUMIFS('3 stopień 20_21'!$I$9:$I$765,'3 stopień 20_21'!$G$9:$G$765,D60,'3 stopień 20_21'!$K$9:$K$765,"CKZ Świdnica")</f>
        <v>0</v>
      </c>
      <c r="O60" s="104">
        <f>SUMIFS('3 stopień 20_21'!$I$9:$I$765,'3 stopień 20_21'!$G$9:$G$765,D60,'3 stopień 20_21'!$K$9:$K$765,"CKZ Wołów")</f>
        <v>0</v>
      </c>
      <c r="P60" s="104">
        <f>SUMIFS('3 stopień 20_21'!$I$9:$I$765,'3 stopień 20_21'!$G$9:$G$765,D60,'3 stopień 20_21'!$K$9:$K$765,"CKZ Ziębice")</f>
        <v>0</v>
      </c>
      <c r="Q60" s="104">
        <f>SUMIFS('3 stopień 20_21'!$I$9:$I$765,'3 stopień 20_21'!$G$9:$G$765,D60,'3 stopień 20_21'!$K$9:$K$765,"CKZ Dobrodzień")</f>
        <v>0</v>
      </c>
      <c r="R60" s="104">
        <f>SUMIFS('3 stopień 20_21'!$I$9:$I$765,'3 stopień 20_21'!$G$9:$G$765,D60,'3 stopień 20_21'!$K$9:$K$765,"CKZ Głubczyce")</f>
        <v>0</v>
      </c>
      <c r="S60" s="104">
        <f>SUMIFS('3 stopień 20_21'!$I$9:$I$765,'3 stopień 20_21'!$G$9:$G$765,D60,'3 stopień 20_21'!$K$9:$K$765,"CKZ Kędzierzyn Kożle")</f>
        <v>0</v>
      </c>
      <c r="T60" s="104">
        <f>SUMIFS('3 stopień 20_21'!$I$9:$I$765,'3 stopień 20_21'!$G$9:$G$765,D60,'3 stopień 20_21'!$K$9:$K$765,"CKZ Kluczbork")</f>
        <v>0</v>
      </c>
      <c r="U60" s="104">
        <f>SUMIFS('3 stopień 20_21'!$I$9:$I$765,'3 stopień 20_21'!$G$9:$G$765,D60,'3 stopień 20_21'!$K$9:$K$765,"CKZ Krotoszyn")</f>
        <v>0</v>
      </c>
      <c r="V60" s="104">
        <f>SUMIFS('3 stopień 20_21'!$I$9:$I$765,'3 stopień 20_21'!$G$9:$G$765,D60,'3 stopień 20_21'!$K$9:$K$765,"CKZ Olkusz")</f>
        <v>0</v>
      </c>
      <c r="W60" s="104">
        <f>SUMIFS('3 stopień 20_21'!$I$9:$I$765,'3 stopień 20_21'!$G$9:$G$765,D60,'3 stopień 20_21'!$K$9:$K$765,"CKZ Wschowa")</f>
        <v>0</v>
      </c>
      <c r="X60" s="104">
        <f>SUMIFS('3 stopień 20_21'!$I$9:$I$765,'3 stopień 20_21'!$G$9:$G$765,D60,'3 stopień 20_21'!$K$9:$K$765,"CKZ Zielona Góra")</f>
        <v>1</v>
      </c>
      <c r="Y60" s="104">
        <f>SUMIFS('3 stopień 20_21'!$I$9:$I$765,'3 stopień 20_21'!$G$9:$G$765,D60,'3 stopień 20_21'!$K$9:$K$765,"Rzemieślnicza Wałbrzych")</f>
        <v>0</v>
      </c>
      <c r="Z60" s="104">
        <f>SUMIFS('3 stopień 20_21'!$I$9:$I$765,'3 stopień 20_21'!$G$9:$G$765,D60,'3 stopień 20_21'!$K$9:$K$765,"CKZ Mosina")</f>
        <v>0</v>
      </c>
      <c r="AA60" s="104">
        <f>SUMIFS('3 stopień 20_21'!$I$9:$I$765,'3 stopień 20_21'!$G$9:$G$765,D60,'3 stopień 20_21'!$K$9:$K$765,"CKZ Opole")</f>
        <v>0</v>
      </c>
      <c r="AB60" s="104">
        <f>SUMIFS('3 stopień 20_21'!$I$9:$I$765,'3 stopień 20_21'!$G$9:$G$765,D60,'3 stopień 20_21'!$K$9:$K$765,"")</f>
        <v>0</v>
      </c>
      <c r="AC60" s="105">
        <f t="shared" si="0"/>
        <v>1</v>
      </c>
    </row>
    <row r="61" spans="2:29">
      <c r="B61" s="100" t="s">
        <v>639</v>
      </c>
      <c r="C61" s="101">
        <v>753501</v>
      </c>
      <c r="D61" s="102" t="s">
        <v>893</v>
      </c>
      <c r="E61" s="100" t="s">
        <v>812</v>
      </c>
      <c r="F61" s="103">
        <f>SUMIF('3 stopień 20_21'!G$9:G$750,D61,'3 stopień 20_21'!I$9:I$751)</f>
        <v>0</v>
      </c>
      <c r="G61" s="104">
        <f>SUMIFS('3 stopień 20_21'!$I$9:$I$765,'3 stopień 20_21'!$G$9:$G$765,D61,'3 stopień 20_21'!$K$9:$K$765,"CKZ Bielawa")</f>
        <v>0</v>
      </c>
      <c r="H61" s="104">
        <f>SUMIFS('3 stopień 20_21'!$I$9:$I$765,'3 stopień 20_21'!$G$9:$G$765,D61,'3 stopień 20_21'!$K$9:$K$765,"GCKZ Głogów")</f>
        <v>0</v>
      </c>
      <c r="I61" s="104">
        <f>SUMIFS('3 stopień 20_21'!$I$9:$I$765,'3 stopień 20_21'!$G$9:$G$765,D61,'3 stopień 20_21'!$K$9:$K$765,"CKZ Jawor")</f>
        <v>0</v>
      </c>
      <c r="J61" s="104">
        <f>SUMIFS('3 stopień 20_21'!$I$9:$I$765,'3 stopień 20_21'!$G$9:$G$765,D61,'3 stopień 20_21'!$K$9:$K$765,"JCKZ Jelenia Góra")</f>
        <v>0</v>
      </c>
      <c r="K61" s="104">
        <f>SUMIFS('3 stopień 20_21'!$I$9:$I$765,'3 stopień 20_21'!$G$9:$G$765,D61,'3 stopień 20_21'!$K$9:$K$765,"CKZ Kłodzko")</f>
        <v>0</v>
      </c>
      <c r="L61" s="104">
        <f>SUMIFS('3 stopień 20_21'!$I$9:$I$765,'3 stopień 20_21'!$G$9:$G$765,D61,'3 stopień 20_21'!$K$9:$K$765,"CKZ Legnica")</f>
        <v>0</v>
      </c>
      <c r="M61" s="104">
        <f>SUMIFS('3 stopień 20_21'!$I$9:$I$765,'3 stopień 20_21'!$G$9:$G$765,D61,'3 stopień 20_21'!$K$9:$K$765,"CKZ Oleśnica")</f>
        <v>0</v>
      </c>
      <c r="N61" s="104">
        <f>SUMIFS('3 stopień 20_21'!$I$9:$I$765,'3 stopień 20_21'!$G$9:$G$765,D61,'3 stopień 20_21'!$K$9:$K$765,"CKZ Świdnica")</f>
        <v>0</v>
      </c>
      <c r="O61" s="104">
        <f>SUMIFS('3 stopień 20_21'!$I$9:$I$765,'3 stopień 20_21'!$G$9:$G$765,D61,'3 stopień 20_21'!$K$9:$K$765,"CKZ Wołów")</f>
        <v>0</v>
      </c>
      <c r="P61" s="104">
        <f>SUMIFS('3 stopień 20_21'!$I$9:$I$765,'3 stopień 20_21'!$G$9:$G$765,D61,'3 stopień 20_21'!$K$9:$K$765,"CKZ Ziębice")</f>
        <v>0</v>
      </c>
      <c r="Q61" s="104">
        <f>SUMIFS('3 stopień 20_21'!$I$9:$I$765,'3 stopień 20_21'!$G$9:$G$765,D61,'3 stopień 20_21'!$K$9:$K$765,"CKZ Dobrodzień")</f>
        <v>0</v>
      </c>
      <c r="R61" s="104">
        <f>SUMIFS('3 stopień 20_21'!$I$9:$I$765,'3 stopień 20_21'!$G$9:$G$765,D61,'3 stopień 20_21'!$K$9:$K$765,"CKZ Głubczyce")</f>
        <v>0</v>
      </c>
      <c r="S61" s="104">
        <f>SUMIFS('3 stopień 20_21'!$I$9:$I$765,'3 stopień 20_21'!$G$9:$G$765,D61,'3 stopień 20_21'!$K$9:$K$765,"CKZ Kędzierzyn Kożle")</f>
        <v>0</v>
      </c>
      <c r="T61" s="104">
        <f>SUMIFS('3 stopień 20_21'!$I$9:$I$765,'3 stopień 20_21'!$G$9:$G$765,D61,'3 stopień 20_21'!$K$9:$K$765,"CKZ Kluczbork")</f>
        <v>0</v>
      </c>
      <c r="U61" s="104">
        <f>SUMIFS('3 stopień 20_21'!$I$9:$I$765,'3 stopień 20_21'!$G$9:$G$765,D61,'3 stopień 20_21'!$K$9:$K$765,"CKZ Krotoszyn")</f>
        <v>0</v>
      </c>
      <c r="V61" s="104">
        <f>SUMIFS('3 stopień 20_21'!$I$9:$I$765,'3 stopień 20_21'!$G$9:$G$765,D61,'3 stopień 20_21'!$K$9:$K$765,"CKZ Olkusz")</f>
        <v>0</v>
      </c>
      <c r="W61" s="104">
        <f>SUMIFS('3 stopień 20_21'!$I$9:$I$765,'3 stopień 20_21'!$G$9:$G$765,D61,'3 stopień 20_21'!$K$9:$K$765,"CKZ Wschowa")</f>
        <v>0</v>
      </c>
      <c r="X61" s="104">
        <f>SUMIFS('3 stopień 20_21'!$I$9:$I$765,'3 stopień 20_21'!$G$9:$G$765,D61,'3 stopień 20_21'!$K$9:$K$765,"CKZ Zielona Góra")</f>
        <v>0</v>
      </c>
      <c r="Y61" s="104">
        <f>SUMIFS('3 stopień 20_21'!$I$9:$I$765,'3 stopień 20_21'!$G$9:$G$765,D61,'3 stopień 20_21'!$K$9:$K$765,"Rzemieślnicza Wałbrzych")</f>
        <v>0</v>
      </c>
      <c r="Z61" s="104">
        <f>SUMIFS('3 stopień 20_21'!$I$9:$I$765,'3 stopień 20_21'!$G$9:$G$765,D61,'3 stopień 20_21'!$K$9:$K$765,"CKZ Mosina")</f>
        <v>0</v>
      </c>
      <c r="AA61" s="104">
        <f>SUMIFS('3 stopień 20_21'!$I$9:$I$765,'3 stopień 20_21'!$G$9:$G$765,D61,'3 stopień 20_21'!$K$9:$K$765,"CKZ Opole")</f>
        <v>0</v>
      </c>
      <c r="AB61" s="104">
        <f>SUMIFS('3 stopień 20_21'!$I$9:$I$765,'3 stopień 20_21'!$G$9:$G$765,D61,'3 stopień 20_21'!$K$9:$K$765,"")</f>
        <v>0</v>
      </c>
      <c r="AC61" s="105">
        <f t="shared" si="0"/>
        <v>0</v>
      </c>
    </row>
    <row r="62" spans="2:29">
      <c r="B62" s="100" t="s">
        <v>640</v>
      </c>
      <c r="C62" s="101">
        <v>753702</v>
      </c>
      <c r="D62" s="101" t="s">
        <v>894</v>
      </c>
      <c r="E62" s="100" t="s">
        <v>895</v>
      </c>
      <c r="F62" s="103">
        <f>SUMIF('3 stopień 20_21'!G$9:G$750,D62,'3 stopień 20_21'!I$9:I$751)</f>
        <v>0</v>
      </c>
      <c r="G62" s="104">
        <f>SUMIFS('3 stopień 20_21'!$I$9:$I$765,'3 stopień 20_21'!$G$9:$G$765,D62,'3 stopień 20_21'!$K$9:$K$765,"CKZ Bielawa")</f>
        <v>0</v>
      </c>
      <c r="H62" s="104">
        <f>SUMIFS('3 stopień 20_21'!$I$9:$I$765,'3 stopień 20_21'!$G$9:$G$765,D62,'3 stopień 20_21'!$K$9:$K$765,"GCKZ Głogów")</f>
        <v>0</v>
      </c>
      <c r="I62" s="104">
        <f>SUMIFS('3 stopień 20_21'!$I$9:$I$765,'3 stopień 20_21'!$G$9:$G$765,D62,'3 stopień 20_21'!$K$9:$K$765,"CKZ Jawor")</f>
        <v>0</v>
      </c>
      <c r="J62" s="104">
        <f>SUMIFS('3 stopień 20_21'!$I$9:$I$765,'3 stopień 20_21'!$G$9:$G$765,D62,'3 stopień 20_21'!$K$9:$K$765,"JCKZ Jelenia Góra")</f>
        <v>0</v>
      </c>
      <c r="K62" s="104">
        <f>SUMIFS('3 stopień 20_21'!$I$9:$I$765,'3 stopień 20_21'!$G$9:$G$765,D62,'3 stopień 20_21'!$K$9:$K$765,"CKZ Kłodzko")</f>
        <v>0</v>
      </c>
      <c r="L62" s="104">
        <f>SUMIFS('3 stopień 20_21'!$I$9:$I$765,'3 stopień 20_21'!$G$9:$G$765,D62,'3 stopień 20_21'!$K$9:$K$765,"CKZ Legnica")</f>
        <v>0</v>
      </c>
      <c r="M62" s="104">
        <f>SUMIFS('3 stopień 20_21'!$I$9:$I$765,'3 stopień 20_21'!$G$9:$G$765,D62,'3 stopień 20_21'!$K$9:$K$765,"CKZ Oleśnica")</f>
        <v>0</v>
      </c>
      <c r="N62" s="104">
        <f>SUMIFS('3 stopień 20_21'!$I$9:$I$765,'3 stopień 20_21'!$G$9:$G$765,D62,'3 stopień 20_21'!$K$9:$K$765,"CKZ Świdnica")</f>
        <v>0</v>
      </c>
      <c r="O62" s="104">
        <f>SUMIFS('3 stopień 20_21'!$I$9:$I$765,'3 stopień 20_21'!$G$9:$G$765,D62,'3 stopień 20_21'!$K$9:$K$765,"CKZ Wołów")</f>
        <v>0</v>
      </c>
      <c r="P62" s="104">
        <f>SUMIFS('3 stopień 20_21'!$I$9:$I$765,'3 stopień 20_21'!$G$9:$G$765,D62,'3 stopień 20_21'!$K$9:$K$765,"CKZ Ziębice")</f>
        <v>0</v>
      </c>
      <c r="Q62" s="104">
        <f>SUMIFS('3 stopień 20_21'!$I$9:$I$765,'3 stopień 20_21'!$G$9:$G$765,D62,'3 stopień 20_21'!$K$9:$K$765,"CKZ Dobrodzień")</f>
        <v>0</v>
      </c>
      <c r="R62" s="104">
        <f>SUMIFS('3 stopień 20_21'!$I$9:$I$765,'3 stopień 20_21'!$G$9:$G$765,D62,'3 stopień 20_21'!$K$9:$K$765,"CKZ Głubczyce")</f>
        <v>0</v>
      </c>
      <c r="S62" s="104">
        <f>SUMIFS('3 stopień 20_21'!$I$9:$I$765,'3 stopień 20_21'!$G$9:$G$765,D62,'3 stopień 20_21'!$K$9:$K$765,"CKZ Kędzierzyn Kożle")</f>
        <v>0</v>
      </c>
      <c r="T62" s="104">
        <f>SUMIFS('3 stopień 20_21'!$I$9:$I$765,'3 stopień 20_21'!$G$9:$G$765,D62,'3 stopień 20_21'!$K$9:$K$765,"CKZ Kluczbork")</f>
        <v>0</v>
      </c>
      <c r="U62" s="104">
        <f>SUMIFS('3 stopień 20_21'!$I$9:$I$765,'3 stopień 20_21'!$G$9:$G$765,D62,'3 stopień 20_21'!$K$9:$K$765,"CKZ Krotoszyn")</f>
        <v>0</v>
      </c>
      <c r="V62" s="104">
        <f>SUMIFS('3 stopień 20_21'!$I$9:$I$765,'3 stopień 20_21'!$G$9:$G$765,D62,'3 stopień 20_21'!$K$9:$K$765,"CKZ Olkusz")</f>
        <v>0</v>
      </c>
      <c r="W62" s="104">
        <f>SUMIFS('3 stopień 20_21'!$I$9:$I$765,'3 stopień 20_21'!$G$9:$G$765,D62,'3 stopień 20_21'!$K$9:$K$765,"CKZ Wschowa")</f>
        <v>0</v>
      </c>
      <c r="X62" s="104">
        <f>SUMIFS('3 stopień 20_21'!$I$9:$I$765,'3 stopień 20_21'!$G$9:$G$765,D62,'3 stopień 20_21'!$K$9:$K$765,"CKZ Zielona Góra")</f>
        <v>0</v>
      </c>
      <c r="Y62" s="104">
        <f>SUMIFS('3 stopień 20_21'!$I$9:$I$765,'3 stopień 20_21'!$G$9:$G$765,D62,'3 stopień 20_21'!$K$9:$K$765,"Rzemieślnicza Wałbrzych")</f>
        <v>0</v>
      </c>
      <c r="Z62" s="104">
        <f>SUMIFS('3 stopień 20_21'!$I$9:$I$765,'3 stopień 20_21'!$G$9:$G$765,D62,'3 stopień 20_21'!$K$9:$K$765,"CKZ Mosina")</f>
        <v>0</v>
      </c>
      <c r="AA62" s="104">
        <f>SUMIFS('3 stopień 20_21'!$I$9:$I$765,'3 stopień 20_21'!$G$9:$G$765,D62,'3 stopień 20_21'!$K$9:$K$765,"CKZ Opole")</f>
        <v>0</v>
      </c>
      <c r="AB62" s="104">
        <f>SUMIFS('3 stopień 20_21'!$I$9:$I$765,'3 stopień 20_21'!$G$9:$G$765,D62,'3 stopień 20_21'!$K$9:$K$765,"")</f>
        <v>0</v>
      </c>
      <c r="AC62" s="105">
        <f t="shared" si="0"/>
        <v>0</v>
      </c>
    </row>
    <row r="63" spans="2:29">
      <c r="B63" s="100" t="s">
        <v>641</v>
      </c>
      <c r="C63" s="101">
        <v>753105</v>
      </c>
      <c r="D63" s="101" t="s">
        <v>896</v>
      </c>
      <c r="E63" s="100" t="s">
        <v>808</v>
      </c>
      <c r="F63" s="103">
        <f>SUMIF('3 stopień 20_21'!G$9:G$750,D63,'3 stopień 20_21'!I$9:I$751)</f>
        <v>0</v>
      </c>
      <c r="G63" s="104">
        <f>SUMIFS('3 stopień 20_21'!$I$9:$I$765,'3 stopień 20_21'!$G$9:$G$765,D63,'3 stopień 20_21'!$K$9:$K$765,"CKZ Bielawa")</f>
        <v>0</v>
      </c>
      <c r="H63" s="104">
        <f>SUMIFS('3 stopień 20_21'!$I$9:$I$765,'3 stopień 20_21'!$G$9:$G$765,D63,'3 stopień 20_21'!$K$9:$K$765,"GCKZ Głogów")</f>
        <v>0</v>
      </c>
      <c r="I63" s="104">
        <f>SUMIFS('3 stopień 20_21'!$I$9:$I$765,'3 stopień 20_21'!$G$9:$G$765,D63,'3 stopień 20_21'!$K$9:$K$765,"CKZ Jawor")</f>
        <v>0</v>
      </c>
      <c r="J63" s="104">
        <f>SUMIFS('3 stopień 20_21'!$I$9:$I$765,'3 stopień 20_21'!$G$9:$G$765,D63,'3 stopień 20_21'!$K$9:$K$765,"JCKZ Jelenia Góra")</f>
        <v>0</v>
      </c>
      <c r="K63" s="104">
        <f>SUMIFS('3 stopień 20_21'!$I$9:$I$765,'3 stopień 20_21'!$G$9:$G$765,D63,'3 stopień 20_21'!$K$9:$K$765,"CKZ Kłodzko")</f>
        <v>0</v>
      </c>
      <c r="L63" s="104">
        <f>SUMIFS('3 stopień 20_21'!$I$9:$I$765,'3 stopień 20_21'!$G$9:$G$765,D63,'3 stopień 20_21'!$K$9:$K$765,"CKZ Legnica")</f>
        <v>0</v>
      </c>
      <c r="M63" s="104">
        <f>SUMIFS('3 stopień 20_21'!$I$9:$I$765,'3 stopień 20_21'!$G$9:$G$765,D63,'3 stopień 20_21'!$K$9:$K$765,"CKZ Oleśnica")</f>
        <v>0</v>
      </c>
      <c r="N63" s="104">
        <f>SUMIFS('3 stopień 20_21'!$I$9:$I$765,'3 stopień 20_21'!$G$9:$G$765,D63,'3 stopień 20_21'!$K$9:$K$765,"CKZ Świdnica")</f>
        <v>0</v>
      </c>
      <c r="O63" s="104">
        <f>SUMIFS('3 stopień 20_21'!$I$9:$I$765,'3 stopień 20_21'!$G$9:$G$765,D63,'3 stopień 20_21'!$K$9:$K$765,"CKZ Wołów")</f>
        <v>0</v>
      </c>
      <c r="P63" s="104">
        <f>SUMIFS('3 stopień 20_21'!$I$9:$I$765,'3 stopień 20_21'!$G$9:$G$765,D63,'3 stopień 20_21'!$K$9:$K$765,"CKZ Ziębice")</f>
        <v>0</v>
      </c>
      <c r="Q63" s="104">
        <f>SUMIFS('3 stopień 20_21'!$I$9:$I$765,'3 stopień 20_21'!$G$9:$G$765,D63,'3 stopień 20_21'!$K$9:$K$765,"CKZ Dobrodzień")</f>
        <v>0</v>
      </c>
      <c r="R63" s="104">
        <f>SUMIFS('3 stopień 20_21'!$I$9:$I$765,'3 stopień 20_21'!$G$9:$G$765,D63,'3 stopień 20_21'!$K$9:$K$765,"CKZ Głubczyce")</f>
        <v>0</v>
      </c>
      <c r="S63" s="104">
        <f>SUMIFS('3 stopień 20_21'!$I$9:$I$765,'3 stopień 20_21'!$G$9:$G$765,D63,'3 stopień 20_21'!$K$9:$K$765,"CKZ Kędzierzyn Kożle")</f>
        <v>0</v>
      </c>
      <c r="T63" s="104">
        <f>SUMIFS('3 stopień 20_21'!$I$9:$I$765,'3 stopień 20_21'!$G$9:$G$765,D63,'3 stopień 20_21'!$K$9:$K$765,"CKZ Kluczbork")</f>
        <v>0</v>
      </c>
      <c r="U63" s="104">
        <f>SUMIFS('3 stopień 20_21'!$I$9:$I$765,'3 stopień 20_21'!$G$9:$G$765,D63,'3 stopień 20_21'!$K$9:$K$765,"CKZ Krotoszyn")</f>
        <v>0</v>
      </c>
      <c r="V63" s="104">
        <f>SUMIFS('3 stopień 20_21'!$I$9:$I$765,'3 stopień 20_21'!$G$9:$G$765,D63,'3 stopień 20_21'!$K$9:$K$765,"CKZ Olkusz")</f>
        <v>0</v>
      </c>
      <c r="W63" s="104">
        <f>SUMIFS('3 stopień 20_21'!$I$9:$I$765,'3 stopień 20_21'!$G$9:$G$765,D63,'3 stopień 20_21'!$K$9:$K$765,"CKZ Wschowa")</f>
        <v>0</v>
      </c>
      <c r="X63" s="104">
        <f>SUMIFS('3 stopień 20_21'!$I$9:$I$765,'3 stopień 20_21'!$G$9:$G$765,D63,'3 stopień 20_21'!$K$9:$K$765,"CKZ Zielona Góra")</f>
        <v>0</v>
      </c>
      <c r="Y63" s="104">
        <f>SUMIFS('3 stopień 20_21'!$I$9:$I$765,'3 stopień 20_21'!$G$9:$G$765,D63,'3 stopień 20_21'!$K$9:$K$765,"Rzemieślnicza Wałbrzych")</f>
        <v>0</v>
      </c>
      <c r="Z63" s="104">
        <f>SUMIFS('3 stopień 20_21'!$I$9:$I$765,'3 stopień 20_21'!$G$9:$G$765,D63,'3 stopień 20_21'!$K$9:$K$765,"CKZ Mosina")</f>
        <v>0</v>
      </c>
      <c r="AA63" s="104">
        <f>SUMIFS('3 stopień 20_21'!$I$9:$I$765,'3 stopień 20_21'!$G$9:$G$765,D63,'3 stopień 20_21'!$K$9:$K$765,"CKZ Opole")</f>
        <v>0</v>
      </c>
      <c r="AB63" s="104">
        <f>SUMIFS('3 stopień 20_21'!$I$9:$I$765,'3 stopień 20_21'!$G$9:$G$765,D63,'3 stopień 20_21'!$K$9:$K$765,"")</f>
        <v>0</v>
      </c>
      <c r="AC63" s="105">
        <f t="shared" si="0"/>
        <v>0</v>
      </c>
    </row>
    <row r="64" spans="2:29">
      <c r="B64" s="100" t="s">
        <v>642</v>
      </c>
      <c r="C64" s="101">
        <v>753106</v>
      </c>
      <c r="D64" s="101" t="s">
        <v>897</v>
      </c>
      <c r="E64" s="100" t="s">
        <v>806</v>
      </c>
      <c r="F64" s="103">
        <f>SUMIF('3 stopień 20_21'!G$9:G$750,D64,'3 stopień 20_21'!I$9:I$751)</f>
        <v>0</v>
      </c>
      <c r="G64" s="104">
        <f>SUMIFS('3 stopień 20_21'!$I$9:$I$765,'3 stopień 20_21'!$G$9:$G$765,D64,'3 stopień 20_21'!$K$9:$K$765,"CKZ Bielawa")</f>
        <v>0</v>
      </c>
      <c r="H64" s="104">
        <f>SUMIFS('3 stopień 20_21'!$I$9:$I$765,'3 stopień 20_21'!$G$9:$G$765,D64,'3 stopień 20_21'!$K$9:$K$765,"GCKZ Głogów")</f>
        <v>0</v>
      </c>
      <c r="I64" s="104">
        <f>SUMIFS('3 stopień 20_21'!$I$9:$I$765,'3 stopień 20_21'!$G$9:$G$765,D64,'3 stopień 20_21'!$K$9:$K$765,"CKZ Jawor")</f>
        <v>0</v>
      </c>
      <c r="J64" s="104">
        <f>SUMIFS('3 stopień 20_21'!$I$9:$I$765,'3 stopień 20_21'!$G$9:$G$765,D64,'3 stopień 20_21'!$K$9:$K$765,"JCKZ Jelenia Góra")</f>
        <v>0</v>
      </c>
      <c r="K64" s="104">
        <f>SUMIFS('3 stopień 20_21'!$I$9:$I$765,'3 stopień 20_21'!$G$9:$G$765,D64,'3 stopień 20_21'!$K$9:$K$765,"CKZ Kłodzko")</f>
        <v>0</v>
      </c>
      <c r="L64" s="104">
        <f>SUMIFS('3 stopień 20_21'!$I$9:$I$765,'3 stopień 20_21'!$G$9:$G$765,D64,'3 stopień 20_21'!$K$9:$K$765,"CKZ Legnica")</f>
        <v>0</v>
      </c>
      <c r="M64" s="104">
        <f>SUMIFS('3 stopień 20_21'!$I$9:$I$765,'3 stopień 20_21'!$G$9:$G$765,D64,'3 stopień 20_21'!$K$9:$K$765,"CKZ Oleśnica")</f>
        <v>0</v>
      </c>
      <c r="N64" s="104">
        <f>SUMIFS('3 stopień 20_21'!$I$9:$I$765,'3 stopień 20_21'!$G$9:$G$765,D64,'3 stopień 20_21'!$K$9:$K$765,"CKZ Świdnica")</f>
        <v>0</v>
      </c>
      <c r="O64" s="104">
        <f>SUMIFS('3 stopień 20_21'!$I$9:$I$765,'3 stopień 20_21'!$G$9:$G$765,D64,'3 stopień 20_21'!$K$9:$K$765,"CKZ Wołów")</f>
        <v>0</v>
      </c>
      <c r="P64" s="104">
        <f>SUMIFS('3 stopień 20_21'!$I$9:$I$765,'3 stopień 20_21'!$G$9:$G$765,D64,'3 stopień 20_21'!$K$9:$K$765,"CKZ Ziębice")</f>
        <v>0</v>
      </c>
      <c r="Q64" s="104">
        <f>SUMIFS('3 stopień 20_21'!$I$9:$I$765,'3 stopień 20_21'!$G$9:$G$765,D64,'3 stopień 20_21'!$K$9:$K$765,"CKZ Dobrodzień")</f>
        <v>0</v>
      </c>
      <c r="R64" s="104">
        <f>SUMIFS('3 stopień 20_21'!$I$9:$I$765,'3 stopień 20_21'!$G$9:$G$765,D64,'3 stopień 20_21'!$K$9:$K$765,"CKZ Głubczyce")</f>
        <v>0</v>
      </c>
      <c r="S64" s="104">
        <f>SUMIFS('3 stopień 20_21'!$I$9:$I$765,'3 stopień 20_21'!$G$9:$G$765,D64,'3 stopień 20_21'!$K$9:$K$765,"CKZ Kędzierzyn Kożle")</f>
        <v>0</v>
      </c>
      <c r="T64" s="104">
        <f>SUMIFS('3 stopień 20_21'!$I$9:$I$765,'3 stopień 20_21'!$G$9:$G$765,D64,'3 stopień 20_21'!$K$9:$K$765,"CKZ Kluczbork")</f>
        <v>0</v>
      </c>
      <c r="U64" s="104">
        <f>SUMIFS('3 stopień 20_21'!$I$9:$I$765,'3 stopień 20_21'!$G$9:$G$765,D64,'3 stopień 20_21'!$K$9:$K$765,"CKZ Krotoszyn")</f>
        <v>0</v>
      </c>
      <c r="V64" s="104">
        <f>SUMIFS('3 stopień 20_21'!$I$9:$I$765,'3 stopień 20_21'!$G$9:$G$765,D64,'3 stopień 20_21'!$K$9:$K$765,"CKZ Olkusz")</f>
        <v>0</v>
      </c>
      <c r="W64" s="104">
        <f>SUMIFS('3 stopień 20_21'!$I$9:$I$765,'3 stopień 20_21'!$G$9:$G$765,D64,'3 stopień 20_21'!$K$9:$K$765,"CKZ Wschowa")</f>
        <v>0</v>
      </c>
      <c r="X64" s="104">
        <f>SUMIFS('3 stopień 20_21'!$I$9:$I$765,'3 stopień 20_21'!$G$9:$G$765,D64,'3 stopień 20_21'!$K$9:$K$765,"CKZ Zielona Góra")</f>
        <v>0</v>
      </c>
      <c r="Y64" s="104">
        <f>SUMIFS('3 stopień 20_21'!$I$9:$I$765,'3 stopień 20_21'!$G$9:$G$765,D64,'3 stopień 20_21'!$K$9:$K$765,"Rzemieślnicza Wałbrzych")</f>
        <v>0</v>
      </c>
      <c r="Z64" s="104">
        <f>SUMIFS('3 stopień 20_21'!$I$9:$I$765,'3 stopień 20_21'!$G$9:$G$765,D64,'3 stopień 20_21'!$K$9:$K$765,"CKZ Mosina")</f>
        <v>0</v>
      </c>
      <c r="AA64" s="104">
        <f>SUMIFS('3 stopień 20_21'!$I$9:$I$765,'3 stopień 20_21'!$G$9:$G$765,D64,'3 stopień 20_21'!$K$9:$K$765,"CKZ Opole")</f>
        <v>0</v>
      </c>
      <c r="AB64" s="104">
        <f>SUMIFS('3 stopień 20_21'!$I$9:$I$765,'3 stopień 20_21'!$G$9:$G$765,D64,'3 stopień 20_21'!$K$9:$K$765,"")</f>
        <v>0</v>
      </c>
      <c r="AC64" s="105">
        <f t="shared" si="0"/>
        <v>0</v>
      </c>
    </row>
    <row r="65" spans="2:29" ht="15.75" customHeight="1">
      <c r="B65" s="100" t="s">
        <v>643</v>
      </c>
      <c r="C65" s="101">
        <v>753602</v>
      </c>
      <c r="D65" s="102" t="s">
        <v>898</v>
      </c>
      <c r="E65" s="100" t="s">
        <v>804</v>
      </c>
      <c r="F65" s="103">
        <f>SUMIF('3 stopień 20_21'!G$9:G$750,D65,'3 stopień 20_21'!I$9:I$751)</f>
        <v>0</v>
      </c>
      <c r="G65" s="104">
        <f>SUMIFS('3 stopień 20_21'!$I$9:$I$765,'3 stopień 20_21'!$G$9:$G$765,D65,'3 stopień 20_21'!$K$9:$K$765,"CKZ Bielawa")</f>
        <v>0</v>
      </c>
      <c r="H65" s="104">
        <f>SUMIFS('3 stopień 20_21'!$I$9:$I$765,'3 stopień 20_21'!$G$9:$G$765,D65,'3 stopień 20_21'!$K$9:$K$765,"GCKZ Głogów")</f>
        <v>0</v>
      </c>
      <c r="I65" s="104">
        <f>SUMIFS('3 stopień 20_21'!$I$9:$I$765,'3 stopień 20_21'!$G$9:$G$765,D65,'3 stopień 20_21'!$K$9:$K$765,"CKZ Jawor")</f>
        <v>0</v>
      </c>
      <c r="J65" s="104">
        <f>SUMIFS('3 stopień 20_21'!$I$9:$I$765,'3 stopień 20_21'!$G$9:$G$765,D65,'3 stopień 20_21'!$K$9:$K$765,"JCKZ Jelenia Góra")</f>
        <v>0</v>
      </c>
      <c r="K65" s="104">
        <f>SUMIFS('3 stopień 20_21'!$I$9:$I$765,'3 stopień 20_21'!$G$9:$G$765,D65,'3 stopień 20_21'!$K$9:$K$765,"CKZ Kłodzko")</f>
        <v>0</v>
      </c>
      <c r="L65" s="104">
        <f>SUMIFS('3 stopień 20_21'!$I$9:$I$765,'3 stopień 20_21'!$G$9:$G$765,D65,'3 stopień 20_21'!$K$9:$K$765,"CKZ Legnica")</f>
        <v>0</v>
      </c>
      <c r="M65" s="104">
        <f>SUMIFS('3 stopień 20_21'!$I$9:$I$765,'3 stopień 20_21'!$G$9:$G$765,D65,'3 stopień 20_21'!$K$9:$K$765,"CKZ Oleśnica")</f>
        <v>0</v>
      </c>
      <c r="N65" s="104">
        <f>SUMIFS('3 stopień 20_21'!$I$9:$I$765,'3 stopień 20_21'!$G$9:$G$765,D65,'3 stopień 20_21'!$K$9:$K$765,"CKZ Świdnica")</f>
        <v>0</v>
      </c>
      <c r="O65" s="104">
        <f>SUMIFS('3 stopień 20_21'!$I$9:$I$765,'3 stopień 20_21'!$G$9:$G$765,D65,'3 stopień 20_21'!$K$9:$K$765,"CKZ Wołów")</f>
        <v>0</v>
      </c>
      <c r="P65" s="104">
        <f>SUMIFS('3 stopień 20_21'!$I$9:$I$765,'3 stopień 20_21'!$G$9:$G$765,D65,'3 stopień 20_21'!$K$9:$K$765,"CKZ Ziębice")</f>
        <v>0</v>
      </c>
      <c r="Q65" s="104">
        <f>SUMIFS('3 stopień 20_21'!$I$9:$I$765,'3 stopień 20_21'!$G$9:$G$765,D65,'3 stopień 20_21'!$K$9:$K$765,"CKZ Dobrodzień")</f>
        <v>0</v>
      </c>
      <c r="R65" s="104">
        <f>SUMIFS('3 stopień 20_21'!$I$9:$I$765,'3 stopień 20_21'!$G$9:$G$765,D65,'3 stopień 20_21'!$K$9:$K$765,"CKZ Głubczyce")</f>
        <v>0</v>
      </c>
      <c r="S65" s="104">
        <f>SUMIFS('3 stopień 20_21'!$I$9:$I$765,'3 stopień 20_21'!$G$9:$G$765,D65,'3 stopień 20_21'!$K$9:$K$765,"CKZ Kędzierzyn Kożle")</f>
        <v>0</v>
      </c>
      <c r="T65" s="104">
        <f>SUMIFS('3 stopień 20_21'!$I$9:$I$765,'3 stopień 20_21'!$G$9:$G$765,D65,'3 stopień 20_21'!$K$9:$K$765,"CKZ Kluczbork")</f>
        <v>0</v>
      </c>
      <c r="U65" s="104">
        <f>SUMIFS('3 stopień 20_21'!$I$9:$I$765,'3 stopień 20_21'!$G$9:$G$765,D65,'3 stopień 20_21'!$K$9:$K$765,"CKZ Krotoszyn")</f>
        <v>0</v>
      </c>
      <c r="V65" s="104">
        <f>SUMIFS('3 stopień 20_21'!$I$9:$I$765,'3 stopień 20_21'!$G$9:$G$765,D65,'3 stopień 20_21'!$K$9:$K$765,"CKZ Olkusz")</f>
        <v>0</v>
      </c>
      <c r="W65" s="104">
        <f>SUMIFS('3 stopień 20_21'!$I$9:$I$765,'3 stopień 20_21'!$G$9:$G$765,D65,'3 stopień 20_21'!$K$9:$K$765,"CKZ Wschowa")</f>
        <v>0</v>
      </c>
      <c r="X65" s="104">
        <f>SUMIFS('3 stopień 20_21'!$I$9:$I$765,'3 stopień 20_21'!$G$9:$G$765,D65,'3 stopień 20_21'!$K$9:$K$765,"CKZ Zielona Góra")</f>
        <v>0</v>
      </c>
      <c r="Y65" s="104">
        <f>SUMIFS('3 stopień 20_21'!$I$9:$I$765,'3 stopień 20_21'!$G$9:$G$765,D65,'3 stopień 20_21'!$K$9:$K$765,"Rzemieślnicza Wałbrzych")</f>
        <v>0</v>
      </c>
      <c r="Z65" s="104">
        <f>SUMIFS('3 stopień 20_21'!$I$9:$I$765,'3 stopień 20_21'!$G$9:$G$765,D65,'3 stopień 20_21'!$K$9:$K$765,"CKZ Mosina")</f>
        <v>0</v>
      </c>
      <c r="AA65" s="104">
        <f>SUMIFS('3 stopień 20_21'!$I$9:$I$765,'3 stopień 20_21'!$G$9:$G$765,D65,'3 stopień 20_21'!$K$9:$K$765,"CKZ Opole")</f>
        <v>0</v>
      </c>
      <c r="AB65" s="104">
        <f>SUMIFS('3 stopień 20_21'!$I$9:$I$765,'3 stopień 20_21'!$G$9:$G$765,D65,'3 stopień 20_21'!$K$9:$K$765,"")</f>
        <v>0</v>
      </c>
      <c r="AC65" s="105">
        <f t="shared" si="0"/>
        <v>0</v>
      </c>
    </row>
    <row r="66" spans="2:29">
      <c r="B66" s="100" t="s">
        <v>644</v>
      </c>
      <c r="C66" s="101">
        <v>815204</v>
      </c>
      <c r="D66" s="102" t="s">
        <v>925</v>
      </c>
      <c r="E66" s="100" t="s">
        <v>802</v>
      </c>
      <c r="F66" s="103">
        <f>SUMIF('3 stopień 20_21'!G$9:G$750,D66,'3 stopień 20_21'!I$9:I$751)</f>
        <v>0</v>
      </c>
      <c r="G66" s="104">
        <f>SUMIFS('3 stopień 20_21'!$I$9:$I$765,'3 stopień 20_21'!$G$9:$G$765,D66,'3 stopień 20_21'!$K$9:$K$765,"CKZ Bielawa")</f>
        <v>0</v>
      </c>
      <c r="H66" s="104">
        <f>SUMIFS('3 stopień 20_21'!$I$9:$I$765,'3 stopień 20_21'!$G$9:$G$765,D66,'3 stopień 20_21'!$K$9:$K$765,"GCKZ Głogów")</f>
        <v>0</v>
      </c>
      <c r="I66" s="104">
        <f>SUMIFS('3 stopień 20_21'!$I$9:$I$765,'3 stopień 20_21'!$G$9:$G$765,D66,'3 stopień 20_21'!$K$9:$K$765,"CKZ Jawor")</f>
        <v>0</v>
      </c>
      <c r="J66" s="104">
        <f>SUMIFS('3 stopień 20_21'!$I$9:$I$765,'3 stopień 20_21'!$G$9:$G$765,D66,'3 stopień 20_21'!$K$9:$K$765,"JCKZ Jelenia Góra")</f>
        <v>0</v>
      </c>
      <c r="K66" s="104">
        <f>SUMIFS('3 stopień 20_21'!$I$9:$I$765,'3 stopień 20_21'!$G$9:$G$765,D66,'3 stopień 20_21'!$K$9:$K$765,"CKZ Kłodzko")</f>
        <v>0</v>
      </c>
      <c r="L66" s="104">
        <f>SUMIFS('3 stopień 20_21'!$I$9:$I$765,'3 stopień 20_21'!$G$9:$G$765,D66,'3 stopień 20_21'!$K$9:$K$765,"CKZ Legnica")</f>
        <v>0</v>
      </c>
      <c r="M66" s="104">
        <f>SUMIFS('3 stopień 20_21'!$I$9:$I$765,'3 stopień 20_21'!$G$9:$G$765,D66,'3 stopień 20_21'!$K$9:$K$765,"CKZ Oleśnica")</f>
        <v>0</v>
      </c>
      <c r="N66" s="104">
        <f>SUMIFS('3 stopień 20_21'!$I$9:$I$765,'3 stopień 20_21'!$G$9:$G$765,D66,'3 stopień 20_21'!$K$9:$K$765,"CKZ Świdnica")</f>
        <v>0</v>
      </c>
      <c r="O66" s="104">
        <f>SUMIFS('3 stopień 20_21'!$I$9:$I$765,'3 stopień 20_21'!$G$9:$G$765,D66,'3 stopień 20_21'!$K$9:$K$765,"CKZ Wołów")</f>
        <v>0</v>
      </c>
      <c r="P66" s="104">
        <f>SUMIFS('3 stopień 20_21'!$I$9:$I$765,'3 stopień 20_21'!$G$9:$G$765,D66,'3 stopień 20_21'!$K$9:$K$765,"CKZ Ziębice")</f>
        <v>0</v>
      </c>
      <c r="Q66" s="104">
        <f>SUMIFS('3 stopień 20_21'!$I$9:$I$765,'3 stopień 20_21'!$G$9:$G$765,D66,'3 stopień 20_21'!$K$9:$K$765,"CKZ Dobrodzień")</f>
        <v>0</v>
      </c>
      <c r="R66" s="104">
        <f>SUMIFS('3 stopień 20_21'!$I$9:$I$765,'3 stopień 20_21'!$G$9:$G$765,D66,'3 stopień 20_21'!$K$9:$K$765,"CKZ Głubczyce")</f>
        <v>0</v>
      </c>
      <c r="S66" s="104">
        <f>SUMIFS('3 stopień 20_21'!$I$9:$I$765,'3 stopień 20_21'!$G$9:$G$765,D66,'3 stopień 20_21'!$K$9:$K$765,"CKZ Kędzierzyn Kożle")</f>
        <v>0</v>
      </c>
      <c r="T66" s="104">
        <f>SUMIFS('3 stopień 20_21'!$I$9:$I$765,'3 stopień 20_21'!$G$9:$G$765,D66,'3 stopień 20_21'!$K$9:$K$765,"CKZ Kluczbork")</f>
        <v>0</v>
      </c>
      <c r="U66" s="104">
        <f>SUMIFS('3 stopień 20_21'!$I$9:$I$765,'3 stopień 20_21'!$G$9:$G$765,D66,'3 stopień 20_21'!$K$9:$K$765,"CKZ Krotoszyn")</f>
        <v>0</v>
      </c>
      <c r="V66" s="104">
        <f>SUMIFS('3 stopień 20_21'!$I$9:$I$765,'3 stopień 20_21'!$G$9:$G$765,D66,'3 stopień 20_21'!$K$9:$K$765,"CKZ Olkusz")</f>
        <v>0</v>
      </c>
      <c r="W66" s="104">
        <f>SUMIFS('3 stopień 20_21'!$I$9:$I$765,'3 stopień 20_21'!$G$9:$G$765,D66,'3 stopień 20_21'!$K$9:$K$765,"CKZ Wschowa")</f>
        <v>0</v>
      </c>
      <c r="X66" s="104">
        <f>SUMIFS('3 stopień 20_21'!$I$9:$I$765,'3 stopień 20_21'!$G$9:$G$765,D66,'3 stopień 20_21'!$K$9:$K$765,"CKZ Zielona Góra")</f>
        <v>0</v>
      </c>
      <c r="Y66" s="104">
        <f>SUMIFS('3 stopień 20_21'!$I$9:$I$765,'3 stopień 20_21'!$G$9:$G$765,D66,'3 stopień 20_21'!$K$9:$K$765,"Rzemieślnicza Wałbrzych")</f>
        <v>0</v>
      </c>
      <c r="Z66" s="104">
        <f>SUMIFS('3 stopień 20_21'!$I$9:$I$765,'3 stopień 20_21'!$G$9:$G$765,D66,'3 stopień 20_21'!$K$9:$K$765,"CKZ Mosina")</f>
        <v>0</v>
      </c>
      <c r="AA66" s="104">
        <f>SUMIFS('3 stopień 20_21'!$I$9:$I$765,'3 stopień 20_21'!$G$9:$G$765,D66,'3 stopień 20_21'!$K$9:$K$765,"CKZ Opole")</f>
        <v>0</v>
      </c>
      <c r="AB66" s="104">
        <f>SUMIFS('3 stopień 20_21'!$I$9:$I$765,'3 stopień 20_21'!$G$9:$G$765,D66,'3 stopień 20_21'!$K$9:$K$765,"")</f>
        <v>0</v>
      </c>
      <c r="AC66" s="105">
        <f t="shared" si="0"/>
        <v>0</v>
      </c>
    </row>
    <row r="67" spans="2:29">
      <c r="B67" s="100" t="s">
        <v>645</v>
      </c>
      <c r="C67" s="101">
        <v>932915</v>
      </c>
      <c r="D67" s="101" t="s">
        <v>899</v>
      </c>
      <c r="E67" s="100" t="s">
        <v>900</v>
      </c>
      <c r="F67" s="103">
        <f>SUMIF('3 stopień 20_21'!G$9:G$750,D67,'3 stopień 20_21'!I$9:I$751)</f>
        <v>0</v>
      </c>
      <c r="G67" s="104">
        <f>SUMIFS('3 stopień 20_21'!$I$9:$I$765,'3 stopień 20_21'!$G$9:$G$765,D67,'3 stopień 20_21'!$K$9:$K$765,"CKZ Bielawa")</f>
        <v>0</v>
      </c>
      <c r="H67" s="104">
        <f>SUMIFS('3 stopień 20_21'!$I$9:$I$765,'3 stopień 20_21'!$G$9:$G$765,D67,'3 stopień 20_21'!$K$9:$K$765,"GCKZ Głogów")</f>
        <v>0</v>
      </c>
      <c r="I67" s="104">
        <f>SUMIFS('3 stopień 20_21'!$I$9:$I$765,'3 stopień 20_21'!$G$9:$G$765,D67,'3 stopień 20_21'!$K$9:$K$765,"CKZ Jawor")</f>
        <v>0</v>
      </c>
      <c r="J67" s="104">
        <f>SUMIFS('3 stopień 20_21'!$I$9:$I$765,'3 stopień 20_21'!$G$9:$G$765,D67,'3 stopień 20_21'!$K$9:$K$765,"JCKZ Jelenia Góra")</f>
        <v>0</v>
      </c>
      <c r="K67" s="104">
        <f>SUMIFS('3 stopień 20_21'!$I$9:$I$765,'3 stopień 20_21'!$G$9:$G$765,D67,'3 stopień 20_21'!$K$9:$K$765,"CKZ Kłodzko")</f>
        <v>0</v>
      </c>
      <c r="L67" s="104">
        <f>SUMIFS('3 stopień 20_21'!$I$9:$I$765,'3 stopień 20_21'!$G$9:$G$765,D67,'3 stopień 20_21'!$K$9:$K$765,"CKZ Legnica")</f>
        <v>0</v>
      </c>
      <c r="M67" s="104">
        <f>SUMIFS('3 stopień 20_21'!$I$9:$I$765,'3 stopień 20_21'!$G$9:$G$765,D67,'3 stopień 20_21'!$K$9:$K$765,"CKZ Oleśnica")</f>
        <v>0</v>
      </c>
      <c r="N67" s="104">
        <f>SUMIFS('3 stopień 20_21'!$I$9:$I$765,'3 stopień 20_21'!$G$9:$G$765,D67,'3 stopień 20_21'!$K$9:$K$765,"CKZ Świdnica")</f>
        <v>0</v>
      </c>
      <c r="O67" s="104">
        <f>SUMIFS('3 stopień 20_21'!$I$9:$I$765,'3 stopień 20_21'!$G$9:$G$765,D67,'3 stopień 20_21'!$K$9:$K$765,"CKZ Wołów")</f>
        <v>0</v>
      </c>
      <c r="P67" s="104">
        <f>SUMIFS('3 stopień 20_21'!$I$9:$I$765,'3 stopień 20_21'!$G$9:$G$765,D67,'3 stopień 20_21'!$K$9:$K$765,"CKZ Ziębice")</f>
        <v>0</v>
      </c>
      <c r="Q67" s="104">
        <f>SUMIFS('3 stopień 20_21'!$I$9:$I$765,'3 stopień 20_21'!$G$9:$G$765,D67,'3 stopień 20_21'!$K$9:$K$765,"CKZ Dobrodzień")</f>
        <v>0</v>
      </c>
      <c r="R67" s="104">
        <f>SUMIFS('3 stopień 20_21'!$I$9:$I$765,'3 stopień 20_21'!$G$9:$G$765,D67,'3 stopień 20_21'!$K$9:$K$765,"CKZ Głubczyce")</f>
        <v>0</v>
      </c>
      <c r="S67" s="104">
        <f>SUMIFS('3 stopień 20_21'!$I$9:$I$765,'3 stopień 20_21'!$G$9:$G$765,D67,'3 stopień 20_21'!$K$9:$K$765,"CKZ Kędzierzyn Kożle")</f>
        <v>0</v>
      </c>
      <c r="T67" s="104">
        <f>SUMIFS('3 stopień 20_21'!$I$9:$I$765,'3 stopień 20_21'!$G$9:$G$765,D67,'3 stopień 20_21'!$K$9:$K$765,"CKZ Kluczbork")</f>
        <v>0</v>
      </c>
      <c r="U67" s="104">
        <f>SUMIFS('3 stopień 20_21'!$I$9:$I$765,'3 stopień 20_21'!$G$9:$G$765,D67,'3 stopień 20_21'!$K$9:$K$765,"CKZ Krotoszyn")</f>
        <v>0</v>
      </c>
      <c r="V67" s="104">
        <f>SUMIFS('3 stopień 20_21'!$I$9:$I$765,'3 stopień 20_21'!$G$9:$G$765,D67,'3 stopień 20_21'!$K$9:$K$765,"CKZ Olkusz")</f>
        <v>0</v>
      </c>
      <c r="W67" s="104">
        <f>SUMIFS('3 stopień 20_21'!$I$9:$I$765,'3 stopień 20_21'!$G$9:$G$765,D67,'3 stopień 20_21'!$K$9:$K$765,"CKZ Wschowa")</f>
        <v>0</v>
      </c>
      <c r="X67" s="104">
        <f>SUMIFS('3 stopień 20_21'!$I$9:$I$765,'3 stopień 20_21'!$G$9:$G$765,D67,'3 stopień 20_21'!$K$9:$K$765,"CKZ Zielona Góra")</f>
        <v>0</v>
      </c>
      <c r="Y67" s="104">
        <f>SUMIFS('3 stopień 20_21'!$I$9:$I$765,'3 stopień 20_21'!$G$9:$G$765,D67,'3 stopień 20_21'!$K$9:$K$765,"Rzemieślnicza Wałbrzych")</f>
        <v>0</v>
      </c>
      <c r="Z67" s="104">
        <f>SUMIFS('3 stopień 20_21'!$I$9:$I$765,'3 stopień 20_21'!$G$9:$G$765,D67,'3 stopień 20_21'!$K$9:$K$765,"CKZ Mosina")</f>
        <v>0</v>
      </c>
      <c r="AA67" s="104">
        <f>SUMIFS('3 stopień 20_21'!$I$9:$I$765,'3 stopień 20_21'!$G$9:$G$765,D67,'3 stopień 20_21'!$K$9:$K$765,"CKZ Opole")</f>
        <v>0</v>
      </c>
      <c r="AB67" s="104">
        <f>SUMIFS('3 stopień 20_21'!$I$9:$I$765,'3 stopień 20_21'!$G$9:$G$765,D67,'3 stopień 20_21'!$K$9:$K$765,"")</f>
        <v>0</v>
      </c>
      <c r="AC67" s="105">
        <f t="shared" si="0"/>
        <v>0</v>
      </c>
    </row>
    <row r="68" spans="2:29">
      <c r="B68" s="100" t="s">
        <v>646</v>
      </c>
      <c r="C68" s="101">
        <v>731808</v>
      </c>
      <c r="D68" s="102" t="s">
        <v>926</v>
      </c>
      <c r="E68" s="100" t="s">
        <v>798</v>
      </c>
      <c r="F68" s="103">
        <f>SUMIF('3 stopień 20_21'!G$9:G$750,D68,'3 stopień 20_21'!I$9:I$751)</f>
        <v>0</v>
      </c>
      <c r="G68" s="104">
        <f>SUMIFS('3 stopień 20_21'!$I$9:$I$765,'3 stopień 20_21'!$G$9:$G$765,D68,'3 stopień 20_21'!$K$9:$K$765,"CKZ Bielawa")</f>
        <v>0</v>
      </c>
      <c r="H68" s="104">
        <f>SUMIFS('3 stopień 20_21'!$I$9:$I$765,'3 stopień 20_21'!$G$9:$G$765,D68,'3 stopień 20_21'!$K$9:$K$765,"GCKZ Głogów")</f>
        <v>0</v>
      </c>
      <c r="I68" s="104">
        <f>SUMIFS('3 stopień 20_21'!$I$9:$I$765,'3 stopień 20_21'!$G$9:$G$765,D68,'3 stopień 20_21'!$K$9:$K$765,"CKZ Jawor")</f>
        <v>0</v>
      </c>
      <c r="J68" s="104">
        <f>SUMIFS('3 stopień 20_21'!$I$9:$I$765,'3 stopień 20_21'!$G$9:$G$765,D68,'3 stopień 20_21'!$K$9:$K$765,"JCKZ Jelenia Góra")</f>
        <v>0</v>
      </c>
      <c r="K68" s="104">
        <f>SUMIFS('3 stopień 20_21'!$I$9:$I$765,'3 stopień 20_21'!$G$9:$G$765,D68,'3 stopień 20_21'!$K$9:$K$765,"CKZ Kłodzko")</f>
        <v>0</v>
      </c>
      <c r="L68" s="104">
        <f>SUMIFS('3 stopień 20_21'!$I$9:$I$765,'3 stopień 20_21'!$G$9:$G$765,D68,'3 stopień 20_21'!$K$9:$K$765,"CKZ Legnica")</f>
        <v>0</v>
      </c>
      <c r="M68" s="104">
        <f>SUMIFS('3 stopień 20_21'!$I$9:$I$765,'3 stopień 20_21'!$G$9:$G$765,D68,'3 stopień 20_21'!$K$9:$K$765,"CKZ Oleśnica")</f>
        <v>0</v>
      </c>
      <c r="N68" s="104">
        <f>SUMIFS('3 stopień 20_21'!$I$9:$I$765,'3 stopień 20_21'!$G$9:$G$765,D68,'3 stopień 20_21'!$K$9:$K$765,"CKZ Świdnica")</f>
        <v>0</v>
      </c>
      <c r="O68" s="104">
        <f>SUMIFS('3 stopień 20_21'!$I$9:$I$765,'3 stopień 20_21'!$G$9:$G$765,D68,'3 stopień 20_21'!$K$9:$K$765,"CKZ Wołów")</f>
        <v>0</v>
      </c>
      <c r="P68" s="104">
        <f>SUMIFS('3 stopień 20_21'!$I$9:$I$765,'3 stopień 20_21'!$G$9:$G$765,D68,'3 stopień 20_21'!$K$9:$K$765,"CKZ Ziębice")</f>
        <v>0</v>
      </c>
      <c r="Q68" s="104">
        <f>SUMIFS('3 stopień 20_21'!$I$9:$I$765,'3 stopień 20_21'!$G$9:$G$765,D68,'3 stopień 20_21'!$K$9:$K$765,"CKZ Dobrodzień")</f>
        <v>0</v>
      </c>
      <c r="R68" s="104">
        <f>SUMIFS('3 stopień 20_21'!$I$9:$I$765,'3 stopień 20_21'!$G$9:$G$765,D68,'3 stopień 20_21'!$K$9:$K$765,"CKZ Głubczyce")</f>
        <v>0</v>
      </c>
      <c r="S68" s="104">
        <f>SUMIFS('3 stopień 20_21'!$I$9:$I$765,'3 stopień 20_21'!$G$9:$G$765,D68,'3 stopień 20_21'!$K$9:$K$765,"CKZ Kędzierzyn Kożle")</f>
        <v>0</v>
      </c>
      <c r="T68" s="104">
        <f>SUMIFS('3 stopień 20_21'!$I$9:$I$765,'3 stopień 20_21'!$G$9:$G$765,D68,'3 stopień 20_21'!$K$9:$K$765,"CKZ Kluczbork")</f>
        <v>0</v>
      </c>
      <c r="U68" s="104">
        <f>SUMIFS('3 stopień 20_21'!$I$9:$I$765,'3 stopień 20_21'!$G$9:$G$765,D68,'3 stopień 20_21'!$K$9:$K$765,"CKZ Krotoszyn")</f>
        <v>0</v>
      </c>
      <c r="V68" s="104">
        <f>SUMIFS('3 stopień 20_21'!$I$9:$I$765,'3 stopień 20_21'!$G$9:$G$765,D68,'3 stopień 20_21'!$K$9:$K$765,"CKZ Olkusz")</f>
        <v>0</v>
      </c>
      <c r="W68" s="104">
        <f>SUMIFS('3 stopień 20_21'!$I$9:$I$765,'3 stopień 20_21'!$G$9:$G$765,D68,'3 stopień 20_21'!$K$9:$K$765,"CKZ Wschowa")</f>
        <v>0</v>
      </c>
      <c r="X68" s="104">
        <f>SUMIFS('3 stopień 20_21'!$I$9:$I$765,'3 stopień 20_21'!$G$9:$G$765,D68,'3 stopień 20_21'!$K$9:$K$765,"CKZ Zielona Góra")</f>
        <v>0</v>
      </c>
      <c r="Y68" s="104">
        <f>SUMIFS('3 stopień 20_21'!$I$9:$I$765,'3 stopień 20_21'!$G$9:$G$765,D68,'3 stopień 20_21'!$K$9:$K$765,"Rzemieślnicza Wałbrzych")</f>
        <v>0</v>
      </c>
      <c r="Z68" s="104">
        <f>SUMIFS('3 stopień 20_21'!$I$9:$I$765,'3 stopień 20_21'!$G$9:$G$765,D68,'3 stopień 20_21'!$K$9:$K$765,"CKZ Mosina")</f>
        <v>0</v>
      </c>
      <c r="AA68" s="104">
        <f>SUMIFS('3 stopień 20_21'!$I$9:$I$765,'3 stopień 20_21'!$G$9:$G$765,D68,'3 stopień 20_21'!$K$9:$K$765,"CKZ Opole")</f>
        <v>0</v>
      </c>
      <c r="AB68" s="104">
        <f>SUMIFS('3 stopień 20_21'!$I$9:$I$765,'3 stopień 20_21'!$G$9:$G$765,D68,'3 stopień 20_21'!$K$9:$K$765,"")</f>
        <v>0</v>
      </c>
      <c r="AC68" s="105">
        <f t="shared" si="0"/>
        <v>0</v>
      </c>
    </row>
    <row r="69" spans="2:29">
      <c r="B69" s="100" t="s">
        <v>647</v>
      </c>
      <c r="C69" s="101">
        <v>516408</v>
      </c>
      <c r="D69" s="102" t="s">
        <v>924</v>
      </c>
      <c r="E69" s="100" t="s">
        <v>796</v>
      </c>
      <c r="F69" s="103">
        <f>SUMIF('3 stopień 20_21'!G$9:G$750,D69,'3 stopień 20_21'!I$9:I$751)</f>
        <v>0</v>
      </c>
      <c r="G69" s="104">
        <f>SUMIFS('3 stopień 20_21'!$I$9:$I$765,'3 stopień 20_21'!$G$9:$G$765,D69,'3 stopień 20_21'!$K$9:$K$765,"CKZ Bielawa")</f>
        <v>0</v>
      </c>
      <c r="H69" s="104">
        <f>SUMIFS('3 stopień 20_21'!$I$9:$I$765,'3 stopień 20_21'!$G$9:$G$765,D69,'3 stopień 20_21'!$K$9:$K$765,"GCKZ Głogów")</f>
        <v>0</v>
      </c>
      <c r="I69" s="104">
        <f>SUMIFS('3 stopień 20_21'!$I$9:$I$765,'3 stopień 20_21'!$G$9:$G$765,D69,'3 stopień 20_21'!$K$9:$K$765,"CKZ Jawor")</f>
        <v>0</v>
      </c>
      <c r="J69" s="104">
        <f>SUMIFS('3 stopień 20_21'!$I$9:$I$765,'3 stopień 20_21'!$G$9:$G$765,D69,'3 stopień 20_21'!$K$9:$K$765,"JCKZ Jelenia Góra")</f>
        <v>0</v>
      </c>
      <c r="K69" s="104">
        <f>SUMIFS('3 stopień 20_21'!$I$9:$I$765,'3 stopień 20_21'!$G$9:$G$765,D69,'3 stopień 20_21'!$K$9:$K$765,"CKZ Kłodzko")</f>
        <v>0</v>
      </c>
      <c r="L69" s="104">
        <f>SUMIFS('3 stopień 20_21'!$I$9:$I$765,'3 stopień 20_21'!$G$9:$G$765,D69,'3 stopień 20_21'!$K$9:$K$765,"CKZ Legnica")</f>
        <v>0</v>
      </c>
      <c r="M69" s="104">
        <f>SUMIFS('3 stopień 20_21'!$I$9:$I$765,'3 stopień 20_21'!$G$9:$G$765,D69,'3 stopień 20_21'!$K$9:$K$765,"CKZ Oleśnica")</f>
        <v>0</v>
      </c>
      <c r="N69" s="104">
        <f>SUMIFS('3 stopień 20_21'!$I$9:$I$765,'3 stopień 20_21'!$G$9:$G$765,D69,'3 stopień 20_21'!$K$9:$K$765,"CKZ Świdnica")</f>
        <v>0</v>
      </c>
      <c r="O69" s="104">
        <f>SUMIFS('3 stopień 20_21'!$I$9:$I$765,'3 stopień 20_21'!$G$9:$G$765,D69,'3 stopień 20_21'!$K$9:$K$765,"CKZ Wołów")</f>
        <v>0</v>
      </c>
      <c r="P69" s="104">
        <f>SUMIFS('3 stopień 20_21'!$I$9:$I$765,'3 stopień 20_21'!$G$9:$G$765,D69,'3 stopień 20_21'!$K$9:$K$765,"CKZ Ziębice")</f>
        <v>0</v>
      </c>
      <c r="Q69" s="104">
        <f>SUMIFS('3 stopień 20_21'!$I$9:$I$765,'3 stopień 20_21'!$G$9:$G$765,D69,'3 stopień 20_21'!$K$9:$K$765,"CKZ Dobrodzień")</f>
        <v>0</v>
      </c>
      <c r="R69" s="104">
        <f>SUMIFS('3 stopień 20_21'!$I$9:$I$765,'3 stopień 20_21'!$G$9:$G$765,D69,'3 stopień 20_21'!$K$9:$K$765,"CKZ Głubczyce")</f>
        <v>0</v>
      </c>
      <c r="S69" s="104">
        <f>SUMIFS('3 stopień 20_21'!$I$9:$I$765,'3 stopień 20_21'!$G$9:$G$765,D69,'3 stopień 20_21'!$K$9:$K$765,"CKZ Kędzierzyn Kożle")</f>
        <v>0</v>
      </c>
      <c r="T69" s="104">
        <f>SUMIFS('3 stopień 20_21'!$I$9:$I$765,'3 stopień 20_21'!$G$9:$G$765,D69,'3 stopień 20_21'!$K$9:$K$765,"CKZ Kluczbork")</f>
        <v>0</v>
      </c>
      <c r="U69" s="104">
        <f>SUMIFS('3 stopień 20_21'!$I$9:$I$765,'3 stopień 20_21'!$G$9:$G$765,D69,'3 stopień 20_21'!$K$9:$K$765,"CKZ Krotoszyn")</f>
        <v>0</v>
      </c>
      <c r="V69" s="104">
        <f>SUMIFS('3 stopień 20_21'!$I$9:$I$765,'3 stopień 20_21'!$G$9:$G$765,D69,'3 stopień 20_21'!$K$9:$K$765,"CKZ Olkusz")</f>
        <v>0</v>
      </c>
      <c r="W69" s="104">
        <f>SUMIFS('3 stopień 20_21'!$I$9:$I$765,'3 stopień 20_21'!$G$9:$G$765,D69,'3 stopień 20_21'!$K$9:$K$765,"CKZ Wschowa")</f>
        <v>0</v>
      </c>
      <c r="X69" s="104">
        <f>SUMIFS('3 stopień 20_21'!$I$9:$I$765,'3 stopień 20_21'!$G$9:$G$765,D69,'3 stopień 20_21'!$K$9:$K$765,"CKZ Zielona Góra")</f>
        <v>0</v>
      </c>
      <c r="Y69" s="104">
        <f>SUMIFS('3 stopień 20_21'!$I$9:$I$765,'3 stopień 20_21'!$G$9:$G$765,D69,'3 stopień 20_21'!$K$9:$K$765,"Rzemieślnicza Wałbrzych")</f>
        <v>0</v>
      </c>
      <c r="Z69" s="104">
        <f>SUMIFS('3 stopień 20_21'!$I$9:$I$765,'3 stopień 20_21'!$G$9:$G$765,D69,'3 stopień 20_21'!$K$9:$K$765,"CKZ Mosina")</f>
        <v>0</v>
      </c>
      <c r="AA69" s="104">
        <f>SUMIFS('3 stopień 20_21'!$I$9:$I$765,'3 stopień 20_21'!$G$9:$G$765,D69,'3 stopień 20_21'!$K$9:$K$765,"CKZ Opole")</f>
        <v>0</v>
      </c>
      <c r="AB69" s="104">
        <f>SUMIFS('3 stopień 20_21'!$I$9:$I$765,'3 stopień 20_21'!$G$9:$G$765,D69,'3 stopień 20_21'!$K$9:$K$765,"")</f>
        <v>0</v>
      </c>
      <c r="AC69" s="105">
        <f t="shared" si="0"/>
        <v>0</v>
      </c>
    </row>
    <row r="70" spans="2:29">
      <c r="B70" s="100" t="s">
        <v>241</v>
      </c>
      <c r="C70" s="101">
        <v>834103</v>
      </c>
      <c r="D70" s="101" t="s">
        <v>242</v>
      </c>
      <c r="E70" s="100" t="s">
        <v>795</v>
      </c>
      <c r="F70" s="103">
        <f>SUMIF('3 stopień 20_21'!G$9:G$750,D70,'3 stopień 20_21'!I$9:I$751)</f>
        <v>3</v>
      </c>
      <c r="G70" s="104">
        <f>SUMIFS('3 stopień 20_21'!$I$9:$I$765,'3 stopień 20_21'!$G$9:$G$765,D70,'3 stopień 20_21'!$K$9:$K$765,"CKZ Bielawa")</f>
        <v>0</v>
      </c>
      <c r="H70" s="104">
        <f>SUMIFS('3 stopień 20_21'!$I$9:$I$765,'3 stopień 20_21'!$G$9:$G$765,D70,'3 stopień 20_21'!$K$9:$K$765,"GCKZ Głogów")</f>
        <v>0</v>
      </c>
      <c r="I70" s="104">
        <f>SUMIFS('3 stopień 20_21'!$I$9:$I$765,'3 stopień 20_21'!$G$9:$G$765,D70,'3 stopień 20_21'!$K$9:$K$765,"CKZ Jawor")</f>
        <v>0</v>
      </c>
      <c r="J70" s="104">
        <f>SUMIFS('3 stopień 20_21'!$I$9:$I$765,'3 stopień 20_21'!$G$9:$G$765,D70,'3 stopień 20_21'!$K$9:$K$765,"JCKZ Jelenia Góra")</f>
        <v>0</v>
      </c>
      <c r="K70" s="104">
        <f>SUMIFS('3 stopień 20_21'!$I$9:$I$765,'3 stopień 20_21'!$G$9:$G$765,D70,'3 stopień 20_21'!$K$9:$K$765,"CKZ Kłodzko")</f>
        <v>0</v>
      </c>
      <c r="L70" s="104">
        <f>SUMIFS('3 stopień 20_21'!$I$9:$I$765,'3 stopień 20_21'!$G$9:$G$765,D70,'3 stopień 20_21'!$K$9:$K$765,"CKZ Legnica")</f>
        <v>0</v>
      </c>
      <c r="M70" s="104">
        <f>SUMIFS('3 stopień 20_21'!$I$9:$I$765,'3 stopień 20_21'!$G$9:$G$765,D70,'3 stopień 20_21'!$K$9:$K$765,"CKZ Oleśnica")</f>
        <v>0</v>
      </c>
      <c r="N70" s="104">
        <f>SUMIFS('3 stopień 20_21'!$I$9:$I$765,'3 stopień 20_21'!$G$9:$G$765,D70,'3 stopień 20_21'!$K$9:$K$765,"CKZ Świdnica")</f>
        <v>0</v>
      </c>
      <c r="O70" s="104">
        <f>SUMIFS('3 stopień 20_21'!$I$9:$I$765,'3 stopień 20_21'!$G$9:$G$765,D70,'3 stopień 20_21'!$K$9:$K$765,"CKZ Wołów")</f>
        <v>0</v>
      </c>
      <c r="P70" s="104">
        <f>SUMIFS('3 stopień 20_21'!$I$9:$I$765,'3 stopień 20_21'!$G$9:$G$765,D70,'3 stopień 20_21'!$K$9:$K$765,"CKZ Ziębice")</f>
        <v>0</v>
      </c>
      <c r="Q70" s="104">
        <f>SUMIFS('3 stopień 20_21'!$I$9:$I$765,'3 stopień 20_21'!$G$9:$G$765,D70,'3 stopień 20_21'!$K$9:$K$765,"CKZ Dobrodzień")</f>
        <v>0</v>
      </c>
      <c r="R70" s="104">
        <f>SUMIFS('3 stopień 20_21'!$I$9:$I$765,'3 stopień 20_21'!$G$9:$G$765,D70,'3 stopień 20_21'!$K$9:$K$765,"CKZ Głubczyce")</f>
        <v>0</v>
      </c>
      <c r="S70" s="104">
        <f>SUMIFS('3 stopień 20_21'!$I$9:$I$765,'3 stopień 20_21'!$G$9:$G$765,D70,'3 stopień 20_21'!$K$9:$K$765,"CKZ Kędzierzyn Kożle")</f>
        <v>0</v>
      </c>
      <c r="T70" s="104">
        <f>SUMIFS('3 stopień 20_21'!$I$9:$I$765,'3 stopień 20_21'!$G$9:$G$765,D70,'3 stopień 20_21'!$K$9:$K$765,"CKZ Kluczbork")</f>
        <v>0</v>
      </c>
      <c r="U70" s="104">
        <f>SUMIFS('3 stopień 20_21'!$I$9:$I$765,'3 stopień 20_21'!$G$9:$G$765,D70,'3 stopień 20_21'!$K$9:$K$765,"CKZ Krotoszyn")</f>
        <v>0</v>
      </c>
      <c r="V70" s="104">
        <f>SUMIFS('3 stopień 20_21'!$I$9:$I$765,'3 stopień 20_21'!$G$9:$G$765,D70,'3 stopień 20_21'!$K$9:$K$765,"CKZ Olkusz")</f>
        <v>0</v>
      </c>
      <c r="W70" s="104">
        <f>SUMIFS('3 stopień 20_21'!$I$9:$I$765,'3 stopień 20_21'!$G$9:$G$765,D70,'3 stopień 20_21'!$K$9:$K$765,"CKZ Wschowa")</f>
        <v>3</v>
      </c>
      <c r="X70" s="104">
        <f>SUMIFS('3 stopień 20_21'!$I$9:$I$765,'3 stopień 20_21'!$G$9:$G$765,D70,'3 stopień 20_21'!$K$9:$K$765,"CKZ Zielona Góra")</f>
        <v>0</v>
      </c>
      <c r="Y70" s="104">
        <f>SUMIFS('3 stopień 20_21'!$I$9:$I$765,'3 stopień 20_21'!$G$9:$G$765,D70,'3 stopień 20_21'!$K$9:$K$765,"Rzemieślnicza Wałbrzych")</f>
        <v>0</v>
      </c>
      <c r="Z70" s="104">
        <f>SUMIFS('3 stopień 20_21'!$I$9:$I$765,'3 stopień 20_21'!$G$9:$G$765,D70,'3 stopień 20_21'!$K$9:$K$765,"CKZ Mosina")</f>
        <v>0</v>
      </c>
      <c r="AA70" s="104">
        <f>SUMIFS('3 stopień 20_21'!$I$9:$I$765,'3 stopień 20_21'!$G$9:$G$765,D70,'3 stopień 20_21'!$K$9:$K$765,"CKZ Opole")</f>
        <v>0</v>
      </c>
      <c r="AB70" s="104">
        <f>SUMIFS('3 stopień 20_21'!$I$9:$I$765,'3 stopień 20_21'!$G$9:$G$765,D70,'3 stopień 20_21'!$K$9:$K$765,"")</f>
        <v>0</v>
      </c>
      <c r="AC70" s="105">
        <f t="shared" si="0"/>
        <v>3</v>
      </c>
    </row>
    <row r="71" spans="2:29">
      <c r="B71" s="100" t="s">
        <v>648</v>
      </c>
      <c r="C71" s="101">
        <v>612302</v>
      </c>
      <c r="D71" s="102" t="s">
        <v>927</v>
      </c>
      <c r="E71" s="100" t="s">
        <v>793</v>
      </c>
      <c r="F71" s="103">
        <f>SUMIF('3 stopień 20_21'!G$9:G$750,D71,'3 stopień 20_21'!I$9:I$751)</f>
        <v>0</v>
      </c>
      <c r="G71" s="104">
        <f>SUMIFS('3 stopień 20_21'!$I$9:$I$765,'3 stopień 20_21'!$G$9:$G$765,D71,'3 stopień 20_21'!$K$9:$K$765,"CKZ Bielawa")</f>
        <v>0</v>
      </c>
      <c r="H71" s="104">
        <f>SUMIFS('3 stopień 20_21'!$I$9:$I$765,'3 stopień 20_21'!$G$9:$G$765,D71,'3 stopień 20_21'!$K$9:$K$765,"GCKZ Głogów")</f>
        <v>0</v>
      </c>
      <c r="I71" s="104">
        <f>SUMIFS('3 stopień 20_21'!$I$9:$I$765,'3 stopień 20_21'!$G$9:$G$765,D71,'3 stopień 20_21'!$K$9:$K$765,"CKZ Jawor")</f>
        <v>0</v>
      </c>
      <c r="J71" s="104">
        <f>SUMIFS('3 stopień 20_21'!$I$9:$I$765,'3 stopień 20_21'!$G$9:$G$765,D71,'3 stopień 20_21'!$K$9:$K$765,"JCKZ Jelenia Góra")</f>
        <v>0</v>
      </c>
      <c r="K71" s="104">
        <f>SUMIFS('3 stopień 20_21'!$I$9:$I$765,'3 stopień 20_21'!$G$9:$G$765,D71,'3 stopień 20_21'!$K$9:$K$765,"CKZ Kłodzko")</f>
        <v>0</v>
      </c>
      <c r="L71" s="104">
        <f>SUMIFS('3 stopień 20_21'!$I$9:$I$765,'3 stopień 20_21'!$G$9:$G$765,D71,'3 stopień 20_21'!$K$9:$K$765,"CKZ Legnica")</f>
        <v>0</v>
      </c>
      <c r="M71" s="104">
        <f>SUMIFS('3 stopień 20_21'!$I$9:$I$765,'3 stopień 20_21'!$G$9:$G$765,D71,'3 stopień 20_21'!$K$9:$K$765,"CKZ Oleśnica")</f>
        <v>0</v>
      </c>
      <c r="N71" s="104">
        <f>SUMIFS('3 stopień 20_21'!$I$9:$I$765,'3 stopień 20_21'!$G$9:$G$765,D71,'3 stopień 20_21'!$K$9:$K$765,"CKZ Świdnica")</f>
        <v>0</v>
      </c>
      <c r="O71" s="104">
        <f>SUMIFS('3 stopień 20_21'!$I$9:$I$765,'3 stopień 20_21'!$G$9:$G$765,D71,'3 stopień 20_21'!$K$9:$K$765,"CKZ Wołów")</f>
        <v>0</v>
      </c>
      <c r="P71" s="104">
        <f>SUMIFS('3 stopień 20_21'!$I$9:$I$765,'3 stopień 20_21'!$G$9:$G$765,D71,'3 stopień 20_21'!$K$9:$K$765,"CKZ Ziębice")</f>
        <v>0</v>
      </c>
      <c r="Q71" s="104">
        <f>SUMIFS('3 stopień 20_21'!$I$9:$I$765,'3 stopień 20_21'!$G$9:$G$765,D71,'3 stopień 20_21'!$K$9:$K$765,"CKZ Dobrodzień")</f>
        <v>0</v>
      </c>
      <c r="R71" s="104">
        <f>SUMIFS('3 stopień 20_21'!$I$9:$I$765,'3 stopień 20_21'!$G$9:$G$765,D71,'3 stopień 20_21'!$K$9:$K$765,"CKZ Głubczyce")</f>
        <v>0</v>
      </c>
      <c r="S71" s="104">
        <f>SUMIFS('3 stopień 20_21'!$I$9:$I$765,'3 stopień 20_21'!$G$9:$G$765,D71,'3 stopień 20_21'!$K$9:$K$765,"CKZ Kędzierzyn Kożle")</f>
        <v>0</v>
      </c>
      <c r="T71" s="104">
        <f>SUMIFS('3 stopień 20_21'!$I$9:$I$765,'3 stopień 20_21'!$G$9:$G$765,D71,'3 stopień 20_21'!$K$9:$K$765,"CKZ Kluczbork")</f>
        <v>0</v>
      </c>
      <c r="U71" s="104">
        <f>SUMIFS('3 stopień 20_21'!$I$9:$I$765,'3 stopień 20_21'!$G$9:$G$765,D71,'3 stopień 20_21'!$K$9:$K$765,"CKZ Krotoszyn")</f>
        <v>0</v>
      </c>
      <c r="V71" s="104">
        <f>SUMIFS('3 stopień 20_21'!$I$9:$I$765,'3 stopień 20_21'!$G$9:$G$765,D71,'3 stopień 20_21'!$K$9:$K$765,"CKZ Olkusz")</f>
        <v>0</v>
      </c>
      <c r="W71" s="104">
        <f>SUMIFS('3 stopień 20_21'!$I$9:$I$765,'3 stopień 20_21'!$G$9:$G$765,D71,'3 stopień 20_21'!$K$9:$K$765,"CKZ Wschowa")</f>
        <v>0</v>
      </c>
      <c r="X71" s="104">
        <f>SUMIFS('3 stopień 20_21'!$I$9:$I$765,'3 stopień 20_21'!$G$9:$G$765,D71,'3 stopień 20_21'!$K$9:$K$765,"CKZ Zielona Góra")</f>
        <v>0</v>
      </c>
      <c r="Y71" s="104">
        <f>SUMIFS('3 stopień 20_21'!$I$9:$I$765,'3 stopień 20_21'!$G$9:$G$765,D71,'3 stopień 20_21'!$K$9:$K$765,"Rzemieślnicza Wałbrzych")</f>
        <v>0</v>
      </c>
      <c r="Z71" s="104">
        <f>SUMIFS('3 stopień 20_21'!$I$9:$I$765,'3 stopień 20_21'!$G$9:$G$765,D71,'3 stopień 20_21'!$K$9:$K$765,"CKZ Mosina")</f>
        <v>0</v>
      </c>
      <c r="AA71" s="104">
        <f>SUMIFS('3 stopień 20_21'!$I$9:$I$765,'3 stopień 20_21'!$G$9:$G$765,D71,'3 stopień 20_21'!$K$9:$K$765,"CKZ Opole")</f>
        <v>0</v>
      </c>
      <c r="AB71" s="104">
        <f>SUMIFS('3 stopień 20_21'!$I$9:$I$765,'3 stopień 20_21'!$G$9:$G$765,D71,'3 stopień 20_21'!$K$9:$K$765,"")</f>
        <v>0</v>
      </c>
      <c r="AC71" s="105">
        <f t="shared" ref="AC71:AC83" si="1">SUM(G71:AB71)</f>
        <v>0</v>
      </c>
    </row>
    <row r="72" spans="2:29">
      <c r="B72" s="100" t="s">
        <v>247</v>
      </c>
      <c r="C72" s="101">
        <v>613003</v>
      </c>
      <c r="D72" s="102" t="s">
        <v>928</v>
      </c>
      <c r="E72" s="100" t="s">
        <v>792</v>
      </c>
      <c r="F72" s="103">
        <f>SUMIF('3 stopień 20_21'!G$9:G$750,D72,'3 stopień 20_21'!I$9:I$751)</f>
        <v>1</v>
      </c>
      <c r="G72" s="104">
        <f>SUMIFS('3 stopień 20_21'!$I$9:$I$765,'3 stopień 20_21'!$G$9:$G$765,D72,'3 stopień 20_21'!$K$9:$K$765,"CKZ Bielawa")</f>
        <v>0</v>
      </c>
      <c r="H72" s="104">
        <f>SUMIFS('3 stopień 20_21'!$I$9:$I$765,'3 stopień 20_21'!$G$9:$G$765,D72,'3 stopień 20_21'!$K$9:$K$765,"GCKZ Głogów")</f>
        <v>0</v>
      </c>
      <c r="I72" s="104">
        <f>SUMIFS('3 stopień 20_21'!$I$9:$I$765,'3 stopień 20_21'!$G$9:$G$765,D72,'3 stopień 20_21'!$K$9:$K$765,"CKZ Jawor")</f>
        <v>0</v>
      </c>
      <c r="J72" s="104">
        <f>SUMIFS('3 stopień 20_21'!$I$9:$I$765,'3 stopień 20_21'!$G$9:$G$765,D72,'3 stopień 20_21'!$K$9:$K$765,"JCKZ Jelenia Góra")</f>
        <v>0</v>
      </c>
      <c r="K72" s="104">
        <f>SUMIFS('3 stopień 20_21'!$I$9:$I$765,'3 stopień 20_21'!$G$9:$G$765,D72,'3 stopień 20_21'!$K$9:$K$765,"CKZ Kłodzko")</f>
        <v>0</v>
      </c>
      <c r="L72" s="104">
        <f>SUMIFS('3 stopień 20_21'!$I$9:$I$765,'3 stopień 20_21'!$G$9:$G$765,D72,'3 stopień 20_21'!$K$9:$K$765,"CKZ Legnica")</f>
        <v>0</v>
      </c>
      <c r="M72" s="104">
        <f>SUMIFS('3 stopień 20_21'!$I$9:$I$765,'3 stopień 20_21'!$G$9:$G$765,D72,'3 stopień 20_21'!$K$9:$K$765,"CKZ Oleśnica")</f>
        <v>0</v>
      </c>
      <c r="N72" s="104">
        <f>SUMIFS('3 stopień 20_21'!$I$9:$I$765,'3 stopień 20_21'!$G$9:$G$765,D72,'3 stopień 20_21'!$K$9:$K$765,"CKZ Świdnica")</f>
        <v>0</v>
      </c>
      <c r="O72" s="104">
        <f>SUMIFS('3 stopień 20_21'!$I$9:$I$765,'3 stopień 20_21'!$G$9:$G$765,D72,'3 stopień 20_21'!$K$9:$K$765,"CKZ Wołów")</f>
        <v>0</v>
      </c>
      <c r="P72" s="104">
        <f>SUMIFS('3 stopień 20_21'!$I$9:$I$765,'3 stopień 20_21'!$G$9:$G$765,D72,'3 stopień 20_21'!$K$9:$K$765,"CKZ Ziębice")</f>
        <v>0</v>
      </c>
      <c r="Q72" s="104">
        <f>SUMIFS('3 stopień 20_21'!$I$9:$I$765,'3 stopień 20_21'!$G$9:$G$765,D72,'3 stopień 20_21'!$K$9:$K$765,"CKZ Dobrodzień")</f>
        <v>0</v>
      </c>
      <c r="R72" s="104">
        <f>SUMIFS('3 stopień 20_21'!$I$9:$I$765,'3 stopień 20_21'!$G$9:$G$765,D72,'3 stopień 20_21'!$K$9:$K$765,"CKZ Głubczyce")</f>
        <v>0</v>
      </c>
      <c r="S72" s="104">
        <f>SUMIFS('3 stopień 20_21'!$I$9:$I$765,'3 stopień 20_21'!$G$9:$G$765,D72,'3 stopień 20_21'!$K$9:$K$765,"CKZ Kędzierzyn Kożle")</f>
        <v>0</v>
      </c>
      <c r="T72" s="104">
        <f>SUMIFS('3 stopień 20_21'!$I$9:$I$765,'3 stopień 20_21'!$G$9:$G$765,D72,'3 stopień 20_21'!$K$9:$K$765,"CKZ Kluczbork")</f>
        <v>0</v>
      </c>
      <c r="U72" s="104">
        <f>SUMIFS('3 stopień 20_21'!$I$9:$I$765,'3 stopień 20_21'!$G$9:$G$765,D72,'3 stopień 20_21'!$K$9:$K$765,"CKZ Krotoszyn")</f>
        <v>0</v>
      </c>
      <c r="V72" s="104">
        <f>SUMIFS('3 stopień 20_21'!$I$9:$I$765,'3 stopień 20_21'!$G$9:$G$765,D72,'3 stopień 20_21'!$K$9:$K$765,"CKZ Olkusz")</f>
        <v>0</v>
      </c>
      <c r="W72" s="104">
        <f>SUMIFS('3 stopień 20_21'!$I$9:$I$765,'3 stopień 20_21'!$G$9:$G$765,D72,'3 stopień 20_21'!$K$9:$K$765,"CKZ Wschowa")</f>
        <v>1</v>
      </c>
      <c r="X72" s="104">
        <f>SUMIFS('3 stopień 20_21'!$I$9:$I$765,'3 stopień 20_21'!$G$9:$G$765,D72,'3 stopień 20_21'!$K$9:$K$765,"CKZ Zielona Góra")</f>
        <v>0</v>
      </c>
      <c r="Y72" s="104">
        <f>SUMIFS('3 stopień 20_21'!$I$9:$I$765,'3 stopień 20_21'!$G$9:$G$765,D72,'3 stopień 20_21'!$K$9:$K$765,"Rzemieślnicza Wałbrzych")</f>
        <v>0</v>
      </c>
      <c r="Z72" s="104">
        <f>SUMIFS('3 stopień 20_21'!$I$9:$I$765,'3 stopień 20_21'!$G$9:$G$765,D72,'3 stopień 20_21'!$K$9:$K$765,"CKZ Mosina")</f>
        <v>0</v>
      </c>
      <c r="AA72" s="104">
        <f>SUMIFS('3 stopień 20_21'!$I$9:$I$765,'3 stopień 20_21'!$G$9:$G$765,D72,'3 stopień 20_21'!$K$9:$K$765,"CKZ Opole")</f>
        <v>0</v>
      </c>
      <c r="AB72" s="104">
        <f>SUMIFS('3 stopień 20_21'!$I$9:$I$765,'3 stopień 20_21'!$G$9:$G$765,D72,'3 stopień 20_21'!$K$9:$K$765,"")</f>
        <v>0</v>
      </c>
      <c r="AC72" s="105">
        <f t="shared" si="1"/>
        <v>1</v>
      </c>
    </row>
    <row r="73" spans="2:29">
      <c r="B73" s="100" t="s">
        <v>649</v>
      </c>
      <c r="C73" s="101">
        <v>622201</v>
      </c>
      <c r="D73" s="102" t="s">
        <v>929</v>
      </c>
      <c r="E73" s="100" t="s">
        <v>790</v>
      </c>
      <c r="F73" s="103">
        <f>SUMIF('3 stopień 20_21'!G$9:G$750,D73,'3 stopień 20_21'!I$9:I$751)</f>
        <v>0</v>
      </c>
      <c r="G73" s="104">
        <f>SUMIFS('3 stopień 20_21'!$I$9:$I$765,'3 stopień 20_21'!$G$9:$G$765,D73,'3 stopień 20_21'!$K$9:$K$765,"CKZ Bielawa")</f>
        <v>0</v>
      </c>
      <c r="H73" s="104">
        <f>SUMIFS('3 stopień 20_21'!$I$9:$I$765,'3 stopień 20_21'!$G$9:$G$765,D73,'3 stopień 20_21'!$K$9:$K$765,"GCKZ Głogów")</f>
        <v>0</v>
      </c>
      <c r="I73" s="104">
        <f>SUMIFS('3 stopień 20_21'!$I$9:$I$765,'3 stopień 20_21'!$G$9:$G$765,D73,'3 stopień 20_21'!$K$9:$K$765,"CKZ Jawor")</f>
        <v>0</v>
      </c>
      <c r="J73" s="104">
        <f>SUMIFS('3 stopień 20_21'!$I$9:$I$765,'3 stopień 20_21'!$G$9:$G$765,D73,'3 stopień 20_21'!$K$9:$K$765,"JCKZ Jelenia Góra")</f>
        <v>0</v>
      </c>
      <c r="K73" s="104">
        <f>SUMIFS('3 stopień 20_21'!$I$9:$I$765,'3 stopień 20_21'!$G$9:$G$765,D73,'3 stopień 20_21'!$K$9:$K$765,"CKZ Kłodzko")</f>
        <v>0</v>
      </c>
      <c r="L73" s="104">
        <f>SUMIFS('3 stopień 20_21'!$I$9:$I$765,'3 stopień 20_21'!$G$9:$G$765,D73,'3 stopień 20_21'!$K$9:$K$765,"CKZ Legnica")</f>
        <v>0</v>
      </c>
      <c r="M73" s="104">
        <f>SUMIFS('3 stopień 20_21'!$I$9:$I$765,'3 stopień 20_21'!$G$9:$G$765,D73,'3 stopień 20_21'!$K$9:$K$765,"CKZ Oleśnica")</f>
        <v>0</v>
      </c>
      <c r="N73" s="104">
        <f>SUMIFS('3 stopień 20_21'!$I$9:$I$765,'3 stopień 20_21'!$G$9:$G$765,D73,'3 stopień 20_21'!$K$9:$K$765,"CKZ Świdnica")</f>
        <v>0</v>
      </c>
      <c r="O73" s="104">
        <f>SUMIFS('3 stopień 20_21'!$I$9:$I$765,'3 stopień 20_21'!$G$9:$G$765,D73,'3 stopień 20_21'!$K$9:$K$765,"CKZ Wołów")</f>
        <v>0</v>
      </c>
      <c r="P73" s="104">
        <f>SUMIFS('3 stopień 20_21'!$I$9:$I$765,'3 stopień 20_21'!$G$9:$G$765,D73,'3 stopień 20_21'!$K$9:$K$765,"CKZ Ziębice")</f>
        <v>0</v>
      </c>
      <c r="Q73" s="104">
        <f>SUMIFS('3 stopień 20_21'!$I$9:$I$765,'3 stopień 20_21'!$G$9:$G$765,D73,'3 stopień 20_21'!$K$9:$K$765,"CKZ Dobrodzień")</f>
        <v>0</v>
      </c>
      <c r="R73" s="104">
        <f>SUMIFS('3 stopień 20_21'!$I$9:$I$765,'3 stopień 20_21'!$G$9:$G$765,D73,'3 stopień 20_21'!$K$9:$K$765,"CKZ Głubczyce")</f>
        <v>0</v>
      </c>
      <c r="S73" s="104">
        <f>SUMIFS('3 stopień 20_21'!$I$9:$I$765,'3 stopień 20_21'!$G$9:$G$765,D73,'3 stopień 20_21'!$K$9:$K$765,"CKZ Kędzierzyn Kożle")</f>
        <v>0</v>
      </c>
      <c r="T73" s="104">
        <f>SUMIFS('3 stopień 20_21'!$I$9:$I$765,'3 stopień 20_21'!$G$9:$G$765,D73,'3 stopień 20_21'!$K$9:$K$765,"CKZ Kluczbork")</f>
        <v>0</v>
      </c>
      <c r="U73" s="104">
        <f>SUMIFS('3 stopień 20_21'!$I$9:$I$765,'3 stopień 20_21'!$G$9:$G$765,D73,'3 stopień 20_21'!$K$9:$K$765,"CKZ Krotoszyn")</f>
        <v>0</v>
      </c>
      <c r="V73" s="104">
        <f>SUMIFS('3 stopień 20_21'!$I$9:$I$765,'3 stopień 20_21'!$G$9:$G$765,D73,'3 stopień 20_21'!$K$9:$K$765,"CKZ Olkusz")</f>
        <v>0</v>
      </c>
      <c r="W73" s="104">
        <f>SUMIFS('3 stopień 20_21'!$I$9:$I$765,'3 stopień 20_21'!$G$9:$G$765,D73,'3 stopień 20_21'!$K$9:$K$765,"CKZ Wschowa")</f>
        <v>0</v>
      </c>
      <c r="X73" s="104">
        <f>SUMIFS('3 stopień 20_21'!$I$9:$I$765,'3 stopień 20_21'!$G$9:$G$765,D73,'3 stopień 20_21'!$K$9:$K$765,"CKZ Zielona Góra")</f>
        <v>0</v>
      </c>
      <c r="Y73" s="104">
        <f>SUMIFS('3 stopień 20_21'!$I$9:$I$765,'3 stopień 20_21'!$G$9:$G$765,D73,'3 stopień 20_21'!$K$9:$K$765,"Rzemieślnicza Wałbrzych")</f>
        <v>0</v>
      </c>
      <c r="Z73" s="104">
        <f>SUMIFS('3 stopień 20_21'!$I$9:$I$765,'3 stopień 20_21'!$G$9:$G$765,D73,'3 stopień 20_21'!$K$9:$K$765,"CKZ Mosina")</f>
        <v>0</v>
      </c>
      <c r="AA73" s="104">
        <f>SUMIFS('3 stopień 20_21'!$I$9:$I$765,'3 stopień 20_21'!$G$9:$G$765,D73,'3 stopień 20_21'!$K$9:$K$765,"CKZ Opole")</f>
        <v>0</v>
      </c>
      <c r="AB73" s="104">
        <f>SUMIFS('3 stopień 20_21'!$I$9:$I$765,'3 stopień 20_21'!$G$9:$G$765,D73,'3 stopień 20_21'!$K$9:$K$765,"")</f>
        <v>0</v>
      </c>
      <c r="AC73" s="105">
        <f t="shared" si="1"/>
        <v>0</v>
      </c>
    </row>
    <row r="74" spans="2:29">
      <c r="B74" s="100" t="s">
        <v>269</v>
      </c>
      <c r="C74" s="101">
        <v>432106</v>
      </c>
      <c r="D74" s="101" t="s">
        <v>860</v>
      </c>
      <c r="E74" s="100" t="s">
        <v>788</v>
      </c>
      <c r="F74" s="103">
        <f>SUMIF('3 stopień 20_21'!G$9:G$750,D74,'3 stopień 20_21'!I$9:I$751)</f>
        <v>3</v>
      </c>
      <c r="G74" s="104">
        <f>SUMIFS('3 stopień 20_21'!$I$9:$I$765,'3 stopień 20_21'!$G$9:$G$765,D74,'3 stopień 20_21'!$K$9:$K$765,"CKZ Bielawa")</f>
        <v>0</v>
      </c>
      <c r="H74" s="104">
        <f>SUMIFS('3 stopień 20_21'!$I$9:$I$765,'3 stopień 20_21'!$G$9:$G$765,D74,'3 stopień 20_21'!$K$9:$K$765,"GCKZ Głogów")</f>
        <v>0</v>
      </c>
      <c r="I74" s="104">
        <f>SUMIFS('3 stopień 20_21'!$I$9:$I$765,'3 stopień 20_21'!$G$9:$G$765,D74,'3 stopień 20_21'!$K$9:$K$765,"CKZ Jawor")</f>
        <v>0</v>
      </c>
      <c r="J74" s="104">
        <f>SUMIFS('3 stopień 20_21'!$I$9:$I$765,'3 stopień 20_21'!$G$9:$G$765,D74,'3 stopień 20_21'!$K$9:$K$765,"JCKZ Jelenia Góra")</f>
        <v>0</v>
      </c>
      <c r="K74" s="104">
        <f>SUMIFS('3 stopień 20_21'!$I$9:$I$765,'3 stopień 20_21'!$G$9:$G$765,D74,'3 stopień 20_21'!$K$9:$K$765,"CKZ Kłodzko")</f>
        <v>0</v>
      </c>
      <c r="L74" s="104">
        <f>SUMIFS('3 stopień 20_21'!$I$9:$I$765,'3 stopień 20_21'!$G$9:$G$765,D74,'3 stopień 20_21'!$K$9:$K$765,"CKZ Legnica")</f>
        <v>0</v>
      </c>
      <c r="M74" s="104">
        <f>SUMIFS('3 stopień 20_21'!$I$9:$I$765,'3 stopień 20_21'!$G$9:$G$765,D74,'3 stopień 20_21'!$K$9:$K$765,"CKZ Oleśnica")</f>
        <v>0</v>
      </c>
      <c r="N74" s="104">
        <f>SUMIFS('3 stopień 20_21'!$I$9:$I$765,'3 stopień 20_21'!$G$9:$G$765,D74,'3 stopień 20_21'!$K$9:$K$765,"CKZ Świdnica")</f>
        <v>0</v>
      </c>
      <c r="O74" s="104">
        <f>SUMIFS('3 stopień 20_21'!$I$9:$I$765,'3 stopień 20_21'!$G$9:$G$765,D74,'3 stopień 20_21'!$K$9:$K$765,"CKZ Wołów")</f>
        <v>0</v>
      </c>
      <c r="P74" s="104">
        <f>SUMIFS('3 stopień 20_21'!$I$9:$I$765,'3 stopień 20_21'!$G$9:$G$765,D74,'3 stopień 20_21'!$K$9:$K$765,"CKZ Ziębice")</f>
        <v>0</v>
      </c>
      <c r="Q74" s="104">
        <f>SUMIFS('3 stopień 20_21'!$I$9:$I$765,'3 stopień 20_21'!$G$9:$G$765,D74,'3 stopień 20_21'!$K$9:$K$765,"CKZ Dobrodzień")</f>
        <v>0</v>
      </c>
      <c r="R74" s="104">
        <f>SUMIFS('3 stopień 20_21'!$I$9:$I$765,'3 stopień 20_21'!$G$9:$G$765,D74,'3 stopień 20_21'!$K$9:$K$765,"CKZ Głubczyce")</f>
        <v>0</v>
      </c>
      <c r="S74" s="104">
        <f>SUMIFS('3 stopień 20_21'!$I$9:$I$765,'3 stopień 20_21'!$G$9:$G$765,D74,'3 stopień 20_21'!$K$9:$K$765,"CKZ Kędzierzyn Kożle")</f>
        <v>0</v>
      </c>
      <c r="T74" s="104">
        <f>SUMIFS('3 stopień 20_21'!$I$9:$I$765,'3 stopień 20_21'!$G$9:$G$765,D74,'3 stopień 20_21'!$K$9:$K$765,"CKZ Kluczbork")</f>
        <v>0</v>
      </c>
      <c r="U74" s="104">
        <f>SUMIFS('3 stopień 20_21'!$I$9:$I$765,'3 stopień 20_21'!$G$9:$G$765,D74,'3 stopień 20_21'!$K$9:$K$765,"CKZ Krotoszyn")</f>
        <v>0</v>
      </c>
      <c r="V74" s="104">
        <f>SUMIFS('3 stopień 20_21'!$I$9:$I$765,'3 stopień 20_21'!$G$9:$G$765,D74,'3 stopień 20_21'!$K$9:$K$765,"CKZ Olkusz")</f>
        <v>0</v>
      </c>
      <c r="W74" s="104">
        <f>SUMIFS('3 stopień 20_21'!$I$9:$I$765,'3 stopień 20_21'!$G$9:$G$765,D74,'3 stopień 20_21'!$K$9:$K$765,"CKZ Wschowa")</f>
        <v>0</v>
      </c>
      <c r="X74" s="104">
        <f>SUMIFS('3 stopień 20_21'!$I$9:$I$765,'3 stopień 20_21'!$G$9:$G$765,D74,'3 stopień 20_21'!$K$9:$K$765,"CKZ Zielona Góra")</f>
        <v>3</v>
      </c>
      <c r="Y74" s="104">
        <f>SUMIFS('3 stopień 20_21'!$I$9:$I$765,'3 stopień 20_21'!$G$9:$G$765,D74,'3 stopień 20_21'!$K$9:$K$765,"Rzemieślnicza Wałbrzych")</f>
        <v>0</v>
      </c>
      <c r="Z74" s="104">
        <f>SUMIFS('3 stopień 20_21'!$I$9:$I$765,'3 stopień 20_21'!$G$9:$G$765,D74,'3 stopień 20_21'!$K$9:$K$765,"CKZ Mosina")</f>
        <v>0</v>
      </c>
      <c r="AA74" s="104">
        <f>SUMIFS('3 stopień 20_21'!$I$9:$I$765,'3 stopień 20_21'!$G$9:$G$765,D74,'3 stopień 20_21'!$K$9:$K$765,"CKZ Opole")</f>
        <v>0</v>
      </c>
      <c r="AB74" s="104">
        <f>SUMIFS('3 stopień 20_21'!$I$9:$I$765,'3 stopień 20_21'!$G$9:$G$765,D74,'3 stopień 20_21'!$K$9:$K$765,"")</f>
        <v>0</v>
      </c>
      <c r="AC74" s="105">
        <f t="shared" si="1"/>
        <v>3</v>
      </c>
    </row>
    <row r="75" spans="2:29">
      <c r="B75" s="100" t="s">
        <v>215</v>
      </c>
      <c r="C75" s="101">
        <v>751201</v>
      </c>
      <c r="D75" s="101" t="s">
        <v>866</v>
      </c>
      <c r="E75" s="100" t="s">
        <v>786</v>
      </c>
      <c r="F75" s="103">
        <f>SUMIF('3 stopień 20_21'!G$9:G$750,D75,'3 stopień 20_21'!I$9:I$751)</f>
        <v>40</v>
      </c>
      <c r="G75" s="104">
        <f>SUMIFS('3 stopień 20_21'!$I$9:$I$765,'3 stopień 20_21'!$G$9:$G$765,D75,'3 stopień 20_21'!$K$9:$K$765,"CKZ Bielawa")</f>
        <v>0</v>
      </c>
      <c r="H75" s="104">
        <f>SUMIFS('3 stopień 20_21'!$I$9:$I$765,'3 stopień 20_21'!$G$9:$G$765,D75,'3 stopień 20_21'!$K$9:$K$765,"GCKZ Głogów")</f>
        <v>0</v>
      </c>
      <c r="I75" s="104">
        <f>SUMIFS('3 stopień 20_21'!$I$9:$I$765,'3 stopień 20_21'!$G$9:$G$765,D75,'3 stopień 20_21'!$K$9:$K$765,"CKZ Jawor")</f>
        <v>0</v>
      </c>
      <c r="J75" s="104">
        <f>SUMIFS('3 stopień 20_21'!$I$9:$I$765,'3 stopień 20_21'!$G$9:$G$765,D75,'3 stopień 20_21'!$K$9:$K$765,"JCKZ Jelenia Góra")</f>
        <v>0</v>
      </c>
      <c r="K75" s="104">
        <f>SUMIFS('3 stopień 20_21'!$I$9:$I$765,'3 stopień 20_21'!$G$9:$G$765,D75,'3 stopień 20_21'!$K$9:$K$765,"CKZ Kłodzko")</f>
        <v>0</v>
      </c>
      <c r="L75" s="104">
        <f>SUMIFS('3 stopień 20_21'!$I$9:$I$765,'3 stopień 20_21'!$G$9:$G$765,D75,'3 stopień 20_21'!$K$9:$K$765,"CKZ Legnica")</f>
        <v>17</v>
      </c>
      <c r="M75" s="104">
        <f>SUMIFS('3 stopień 20_21'!$I$9:$I$765,'3 stopień 20_21'!$G$9:$G$765,D75,'3 stopień 20_21'!$K$9:$K$765,"CKZ Oleśnica")</f>
        <v>14</v>
      </c>
      <c r="N75" s="104">
        <f>SUMIFS('3 stopień 20_21'!$I$9:$I$765,'3 stopień 20_21'!$G$9:$G$765,D75,'3 stopień 20_21'!$K$9:$K$765,"CKZ Świdnica")</f>
        <v>7</v>
      </c>
      <c r="O75" s="104">
        <f>SUMIFS('3 stopień 20_21'!$I$9:$I$765,'3 stopień 20_21'!$G$9:$G$765,D75,'3 stopień 20_21'!$K$9:$K$765,"CKZ Wołów")</f>
        <v>0</v>
      </c>
      <c r="P75" s="104">
        <f>SUMIFS('3 stopień 20_21'!$I$9:$I$765,'3 stopień 20_21'!$G$9:$G$765,D75,'3 stopień 20_21'!$K$9:$K$765,"CKZ Ziębice")</f>
        <v>0</v>
      </c>
      <c r="Q75" s="104">
        <f>SUMIFS('3 stopień 20_21'!$I$9:$I$765,'3 stopień 20_21'!$G$9:$G$765,D75,'3 stopień 20_21'!$K$9:$K$765,"CKZ Dobrodzień")</f>
        <v>0</v>
      </c>
      <c r="R75" s="104">
        <f>SUMIFS('3 stopień 20_21'!$I$9:$I$765,'3 stopień 20_21'!$G$9:$G$765,D75,'3 stopień 20_21'!$K$9:$K$765,"CKZ Głubczyce")</f>
        <v>0</v>
      </c>
      <c r="S75" s="104">
        <f>SUMIFS('3 stopień 20_21'!$I$9:$I$765,'3 stopień 20_21'!$G$9:$G$765,D75,'3 stopień 20_21'!$K$9:$K$765,"CKZ Kędzierzyn Kożle")</f>
        <v>0</v>
      </c>
      <c r="T75" s="104">
        <f>SUMIFS('3 stopień 20_21'!$I$9:$I$765,'3 stopień 20_21'!$G$9:$G$765,D75,'3 stopień 20_21'!$K$9:$K$765,"CKZ Kluczbork")</f>
        <v>0</v>
      </c>
      <c r="U75" s="104">
        <f>SUMIFS('3 stopień 20_21'!$I$9:$I$765,'3 stopień 20_21'!$G$9:$G$765,D75,'3 stopień 20_21'!$K$9:$K$765,"CKZ Krotoszyn")</f>
        <v>0</v>
      </c>
      <c r="V75" s="104">
        <f>SUMIFS('3 stopień 20_21'!$I$9:$I$765,'3 stopień 20_21'!$G$9:$G$765,D75,'3 stopień 20_21'!$K$9:$K$765,"CKZ Olkusz")</f>
        <v>0</v>
      </c>
      <c r="W75" s="104">
        <f>SUMIFS('3 stopień 20_21'!$I$9:$I$765,'3 stopień 20_21'!$G$9:$G$765,D75,'3 stopień 20_21'!$K$9:$K$765,"CKZ Wschowa")</f>
        <v>0</v>
      </c>
      <c r="X75" s="104">
        <f>SUMIFS('3 stopień 20_21'!$I$9:$I$765,'3 stopień 20_21'!$G$9:$G$765,D75,'3 stopień 20_21'!$K$9:$K$765,"CKZ Zielona Góra")</f>
        <v>2</v>
      </c>
      <c r="Y75" s="104">
        <f>SUMIFS('3 stopień 20_21'!$I$9:$I$765,'3 stopień 20_21'!$G$9:$G$765,D75,'3 stopień 20_21'!$K$9:$K$765,"Rzemieślnicza Wałbrzych")</f>
        <v>0</v>
      </c>
      <c r="Z75" s="104">
        <f>SUMIFS('3 stopień 20_21'!$I$9:$I$765,'3 stopień 20_21'!$G$9:$G$765,D75,'3 stopień 20_21'!$K$9:$K$765,"CKZ Mosina")</f>
        <v>0</v>
      </c>
      <c r="AA75" s="104">
        <f>SUMIFS('3 stopień 20_21'!$I$9:$I$765,'3 stopień 20_21'!$G$9:$G$765,D75,'3 stopień 20_21'!$K$9:$K$765,"CKZ Opole")</f>
        <v>0</v>
      </c>
      <c r="AB75" s="104">
        <f>SUMIFS('3 stopień 20_21'!$I$9:$I$765,'3 stopień 20_21'!$G$9:$G$765,D75,'3 stopień 20_21'!$K$9:$K$765,"")</f>
        <v>0</v>
      </c>
      <c r="AC75" s="105">
        <f t="shared" si="1"/>
        <v>40</v>
      </c>
    </row>
    <row r="76" spans="2:29">
      <c r="B76" s="100" t="s">
        <v>650</v>
      </c>
      <c r="C76" s="101">
        <v>816003</v>
      </c>
      <c r="D76" s="101" t="s">
        <v>865</v>
      </c>
      <c r="E76" s="100" t="s">
        <v>784</v>
      </c>
      <c r="F76" s="103">
        <f>SUMIF('3 stopień 20_21'!G$9:G$750,D76,'3 stopień 20_21'!I$9:I$751)</f>
        <v>1</v>
      </c>
      <c r="G76" s="104">
        <f>SUMIFS('3 stopień 20_21'!$I$9:$I$765,'3 stopień 20_21'!$G$9:$G$765,D76,'3 stopień 20_21'!$K$9:$K$765,"CKZ Bielawa")</f>
        <v>0</v>
      </c>
      <c r="H76" s="104">
        <f>SUMIFS('3 stopień 20_21'!$I$9:$I$765,'3 stopień 20_21'!$G$9:$G$765,D76,'3 stopień 20_21'!$K$9:$K$765,"GCKZ Głogów")</f>
        <v>0</v>
      </c>
      <c r="I76" s="104">
        <f>SUMIFS('3 stopień 20_21'!$I$9:$I$765,'3 stopień 20_21'!$G$9:$G$765,D76,'3 stopień 20_21'!$K$9:$K$765,"CKZ Jawor")</f>
        <v>0</v>
      </c>
      <c r="J76" s="104">
        <f>SUMIFS('3 stopień 20_21'!$I$9:$I$765,'3 stopień 20_21'!$G$9:$G$765,D76,'3 stopień 20_21'!$K$9:$K$765,"JCKZ Jelenia Góra")</f>
        <v>0</v>
      </c>
      <c r="K76" s="104">
        <f>SUMIFS('3 stopień 20_21'!$I$9:$I$765,'3 stopień 20_21'!$G$9:$G$765,D76,'3 stopień 20_21'!$K$9:$K$765,"CKZ Kłodzko")</f>
        <v>0</v>
      </c>
      <c r="L76" s="104">
        <f>SUMIFS('3 stopień 20_21'!$I$9:$I$765,'3 stopień 20_21'!$G$9:$G$765,D76,'3 stopień 20_21'!$K$9:$K$765,"CKZ Legnica")</f>
        <v>0</v>
      </c>
      <c r="M76" s="104">
        <f>SUMIFS('3 stopień 20_21'!$I$9:$I$765,'3 stopień 20_21'!$G$9:$G$765,D76,'3 stopień 20_21'!$K$9:$K$765,"CKZ Oleśnica")</f>
        <v>0</v>
      </c>
      <c r="N76" s="104">
        <f>SUMIFS('3 stopień 20_21'!$I$9:$I$765,'3 stopień 20_21'!$G$9:$G$765,D76,'3 stopień 20_21'!$K$9:$K$765,"CKZ Świdnica")</f>
        <v>0</v>
      </c>
      <c r="O76" s="104">
        <f>SUMIFS('3 stopień 20_21'!$I$9:$I$765,'3 stopień 20_21'!$G$9:$G$765,D76,'3 stopień 20_21'!$K$9:$K$765,"CKZ Wołów")</f>
        <v>0</v>
      </c>
      <c r="P76" s="104">
        <f>SUMIFS('3 stopień 20_21'!$I$9:$I$765,'3 stopień 20_21'!$G$9:$G$765,D76,'3 stopień 20_21'!$K$9:$K$765,"CKZ Ziębice")</f>
        <v>0</v>
      </c>
      <c r="Q76" s="104">
        <f>SUMIFS('3 stopień 20_21'!$I$9:$I$765,'3 stopień 20_21'!$G$9:$G$765,D76,'3 stopień 20_21'!$K$9:$K$765,"CKZ Dobrodzień")</f>
        <v>0</v>
      </c>
      <c r="R76" s="104">
        <f>SUMIFS('3 stopień 20_21'!$I$9:$I$765,'3 stopień 20_21'!$G$9:$G$765,D76,'3 stopień 20_21'!$K$9:$K$765,"CKZ Głubczyce")</f>
        <v>0</v>
      </c>
      <c r="S76" s="104">
        <f>SUMIFS('3 stopień 20_21'!$I$9:$I$765,'3 stopień 20_21'!$G$9:$G$765,D76,'3 stopień 20_21'!$K$9:$K$765,"CKZ Kędzierzyn Kożle")</f>
        <v>0</v>
      </c>
      <c r="T76" s="104">
        <f>SUMIFS('3 stopień 20_21'!$I$9:$I$765,'3 stopień 20_21'!$G$9:$G$765,D76,'3 stopień 20_21'!$K$9:$K$765,"CKZ Kluczbork")</f>
        <v>0</v>
      </c>
      <c r="U76" s="104">
        <f>SUMIFS('3 stopień 20_21'!$I$9:$I$765,'3 stopień 20_21'!$G$9:$G$765,D76,'3 stopień 20_21'!$K$9:$K$765,"CKZ Krotoszyn")</f>
        <v>0</v>
      </c>
      <c r="V76" s="104">
        <f>SUMIFS('3 stopień 20_21'!$I$9:$I$765,'3 stopień 20_21'!$G$9:$G$765,D76,'3 stopień 20_21'!$K$9:$K$765,"CKZ Olkusz")</f>
        <v>0</v>
      </c>
      <c r="W76" s="104">
        <f>SUMIFS('3 stopień 20_21'!$I$9:$I$765,'3 stopień 20_21'!$G$9:$G$765,D76,'3 stopień 20_21'!$K$9:$K$765,"CKZ Wschowa")</f>
        <v>0</v>
      </c>
      <c r="X76" s="104">
        <f>SUMIFS('3 stopień 20_21'!$I$9:$I$765,'3 stopień 20_21'!$G$9:$G$765,D76,'3 stopień 20_21'!$K$9:$K$765,"CKZ Zielona Góra")</f>
        <v>1</v>
      </c>
      <c r="Y76" s="104">
        <f>SUMIFS('3 stopień 20_21'!$I$9:$I$765,'3 stopień 20_21'!$G$9:$G$765,D76,'3 stopień 20_21'!$K$9:$K$765,"Rzemieślnicza Wałbrzych")</f>
        <v>0</v>
      </c>
      <c r="Z76" s="104">
        <f>SUMIFS('3 stopień 20_21'!$I$9:$I$765,'3 stopień 20_21'!$G$9:$G$765,D76,'3 stopień 20_21'!$K$9:$K$765,"CKZ Mosina")</f>
        <v>0</v>
      </c>
      <c r="AA76" s="104">
        <f>SUMIFS('3 stopień 20_21'!$I$9:$I$765,'3 stopień 20_21'!$G$9:$G$765,D76,'3 stopień 20_21'!$K$9:$K$765,"CKZ Opole")</f>
        <v>0</v>
      </c>
      <c r="AB76" s="104">
        <f>SUMIFS('3 stopień 20_21'!$I$9:$I$765,'3 stopień 20_21'!$G$9:$G$765,D76,'3 stopień 20_21'!$K$9:$K$765,"")</f>
        <v>0</v>
      </c>
      <c r="AC76" s="105">
        <f t="shared" si="1"/>
        <v>1</v>
      </c>
    </row>
    <row r="77" spans="2:29">
      <c r="B77" s="100" t="s">
        <v>88</v>
      </c>
      <c r="C77" s="101">
        <v>751204</v>
      </c>
      <c r="D77" s="101" t="s">
        <v>262</v>
      </c>
      <c r="E77" s="100" t="s">
        <v>782</v>
      </c>
      <c r="F77" s="103">
        <f>SUMIF('3 stopień 20_21'!G$9:G$750,D77,'3 stopień 20_21'!I$9:I$751)</f>
        <v>19</v>
      </c>
      <c r="G77" s="104">
        <f>SUMIFS('3 stopień 20_21'!$I$9:$I$765,'3 stopień 20_21'!$G$9:$G$765,D77,'3 stopień 20_21'!$K$9:$K$765,"CKZ Bielawa")</f>
        <v>0</v>
      </c>
      <c r="H77" s="104">
        <f>SUMIFS('3 stopień 20_21'!$I$9:$I$765,'3 stopień 20_21'!$G$9:$G$765,D77,'3 stopień 20_21'!$K$9:$K$765,"GCKZ Głogów")</f>
        <v>0</v>
      </c>
      <c r="I77" s="104">
        <f>SUMIFS('3 stopień 20_21'!$I$9:$I$765,'3 stopień 20_21'!$G$9:$G$765,D77,'3 stopień 20_21'!$K$9:$K$765,"CKZ Jawor")</f>
        <v>0</v>
      </c>
      <c r="J77" s="104">
        <f>SUMIFS('3 stopień 20_21'!$I$9:$I$765,'3 stopień 20_21'!$G$9:$G$765,D77,'3 stopień 20_21'!$K$9:$K$765,"JCKZ Jelenia Góra")</f>
        <v>0</v>
      </c>
      <c r="K77" s="104">
        <f>SUMIFS('3 stopień 20_21'!$I$9:$I$765,'3 stopień 20_21'!$G$9:$G$765,D77,'3 stopień 20_21'!$K$9:$K$765,"CKZ Kłodzko")</f>
        <v>0</v>
      </c>
      <c r="L77" s="104">
        <f>SUMIFS('3 stopień 20_21'!$I$9:$I$765,'3 stopień 20_21'!$G$9:$G$765,D77,'3 stopień 20_21'!$K$9:$K$765,"CKZ Legnica")</f>
        <v>7</v>
      </c>
      <c r="M77" s="104">
        <f>SUMIFS('3 stopień 20_21'!$I$9:$I$765,'3 stopień 20_21'!$G$9:$G$765,D77,'3 stopień 20_21'!$K$9:$K$765,"CKZ Oleśnica")</f>
        <v>0</v>
      </c>
      <c r="N77" s="104">
        <f>SUMIFS('3 stopień 20_21'!$I$9:$I$765,'3 stopień 20_21'!$G$9:$G$765,D77,'3 stopień 20_21'!$K$9:$K$765,"CKZ Świdnica")</f>
        <v>9</v>
      </c>
      <c r="O77" s="104">
        <f>SUMIFS('3 stopień 20_21'!$I$9:$I$765,'3 stopień 20_21'!$G$9:$G$765,D77,'3 stopień 20_21'!$K$9:$K$765,"CKZ Wołów")</f>
        <v>0</v>
      </c>
      <c r="P77" s="104">
        <f>SUMIFS('3 stopień 20_21'!$I$9:$I$765,'3 stopień 20_21'!$G$9:$G$765,D77,'3 stopień 20_21'!$K$9:$K$765,"CKZ Ziębice")</f>
        <v>0</v>
      </c>
      <c r="Q77" s="104">
        <f>SUMIFS('3 stopień 20_21'!$I$9:$I$765,'3 stopień 20_21'!$G$9:$G$765,D77,'3 stopień 20_21'!$K$9:$K$765,"CKZ Dobrodzień")</f>
        <v>0</v>
      </c>
      <c r="R77" s="104">
        <f>SUMIFS('3 stopień 20_21'!$I$9:$I$765,'3 stopień 20_21'!$G$9:$G$765,D77,'3 stopień 20_21'!$K$9:$K$765,"CKZ Głubczyce")</f>
        <v>0</v>
      </c>
      <c r="S77" s="104">
        <f>SUMIFS('3 stopień 20_21'!$I$9:$I$765,'3 stopień 20_21'!$G$9:$G$765,D77,'3 stopień 20_21'!$K$9:$K$765,"CKZ Kędzierzyn Kożle")</f>
        <v>0</v>
      </c>
      <c r="T77" s="104">
        <f>SUMIFS('3 stopień 20_21'!$I$9:$I$765,'3 stopień 20_21'!$G$9:$G$765,D77,'3 stopień 20_21'!$K$9:$K$765,"CKZ Kluczbork")</f>
        <v>0</v>
      </c>
      <c r="U77" s="104">
        <f>SUMIFS('3 stopień 20_21'!$I$9:$I$765,'3 stopień 20_21'!$G$9:$G$765,D77,'3 stopień 20_21'!$K$9:$K$765,"CKZ Krotoszyn")</f>
        <v>0</v>
      </c>
      <c r="V77" s="104">
        <f>SUMIFS('3 stopień 20_21'!$I$9:$I$765,'3 stopień 20_21'!$G$9:$G$765,D77,'3 stopień 20_21'!$K$9:$K$765,"CKZ Olkusz")</f>
        <v>0</v>
      </c>
      <c r="W77" s="104">
        <f>SUMIFS('3 stopień 20_21'!$I$9:$I$765,'3 stopień 20_21'!$G$9:$G$765,D77,'3 stopień 20_21'!$K$9:$K$765,"CKZ Wschowa")</f>
        <v>3</v>
      </c>
      <c r="X77" s="104">
        <f>SUMIFS('3 stopień 20_21'!$I$9:$I$765,'3 stopień 20_21'!$G$9:$G$765,D77,'3 stopień 20_21'!$K$9:$K$765,"CKZ Zielona Góra")</f>
        <v>0</v>
      </c>
      <c r="Y77" s="104">
        <f>SUMIFS('3 stopień 20_21'!$I$9:$I$765,'3 stopień 20_21'!$G$9:$G$765,D77,'3 stopień 20_21'!$K$9:$K$765,"Rzemieślnicza Wałbrzych")</f>
        <v>0</v>
      </c>
      <c r="Z77" s="104">
        <f>SUMIFS('3 stopień 20_21'!$I$9:$I$765,'3 stopień 20_21'!$G$9:$G$765,D77,'3 stopień 20_21'!$K$9:$K$765,"CKZ Mosina")</f>
        <v>0</v>
      </c>
      <c r="AA77" s="104">
        <f>SUMIFS('3 stopień 20_21'!$I$9:$I$765,'3 stopień 20_21'!$G$9:$G$765,D77,'3 stopień 20_21'!$K$9:$K$765,"CKZ Opole")</f>
        <v>0</v>
      </c>
      <c r="AB77" s="104">
        <f>SUMIFS('3 stopień 20_21'!$I$9:$I$765,'3 stopień 20_21'!$G$9:$G$765,D77,'3 stopień 20_21'!$K$9:$K$765,"")</f>
        <v>0</v>
      </c>
      <c r="AC77" s="105">
        <f t="shared" si="1"/>
        <v>19</v>
      </c>
    </row>
    <row r="78" spans="2:29">
      <c r="B78" s="100" t="s">
        <v>267</v>
      </c>
      <c r="C78" s="101">
        <v>751107</v>
      </c>
      <c r="D78" s="101" t="s">
        <v>572</v>
      </c>
      <c r="E78" s="100" t="s">
        <v>780</v>
      </c>
      <c r="F78" s="103">
        <f>SUMIF('3 stopień 20_21'!G$9:G$750,D78,'3 stopień 20_21'!I$9:I$751)</f>
        <v>2</v>
      </c>
      <c r="G78" s="104">
        <f>SUMIFS('3 stopień 20_21'!$I$9:$I$765,'3 stopień 20_21'!$G$9:$G$765,D78,'3 stopień 20_21'!$K$9:$K$765,"CKZ Bielawa")</f>
        <v>0</v>
      </c>
      <c r="H78" s="104">
        <f>SUMIFS('3 stopień 20_21'!$I$9:$I$765,'3 stopień 20_21'!$G$9:$G$765,D78,'3 stopień 20_21'!$K$9:$K$765,"GCKZ Głogów")</f>
        <v>0</v>
      </c>
      <c r="I78" s="104">
        <f>SUMIFS('3 stopień 20_21'!$I$9:$I$765,'3 stopień 20_21'!$G$9:$G$765,D78,'3 stopień 20_21'!$K$9:$K$765,"CKZ Jawor")</f>
        <v>0</v>
      </c>
      <c r="J78" s="104">
        <f>SUMIFS('3 stopień 20_21'!$I$9:$I$765,'3 stopień 20_21'!$G$9:$G$765,D78,'3 stopień 20_21'!$K$9:$K$765,"JCKZ Jelenia Góra")</f>
        <v>0</v>
      </c>
      <c r="K78" s="104">
        <f>SUMIFS('3 stopień 20_21'!$I$9:$I$765,'3 stopień 20_21'!$G$9:$G$765,D78,'3 stopień 20_21'!$K$9:$K$765,"CKZ Kłodzko")</f>
        <v>0</v>
      </c>
      <c r="L78" s="104">
        <f>SUMIFS('3 stopień 20_21'!$I$9:$I$765,'3 stopień 20_21'!$G$9:$G$765,D78,'3 stopień 20_21'!$K$9:$K$765,"CKZ Legnica")</f>
        <v>0</v>
      </c>
      <c r="M78" s="104">
        <f>SUMIFS('3 stopień 20_21'!$I$9:$I$765,'3 stopień 20_21'!$G$9:$G$765,D78,'3 stopień 20_21'!$K$9:$K$765,"CKZ Oleśnica")</f>
        <v>0</v>
      </c>
      <c r="N78" s="104">
        <f>SUMIFS('3 stopień 20_21'!$I$9:$I$765,'3 stopień 20_21'!$G$9:$G$765,D78,'3 stopień 20_21'!$K$9:$K$765,"CKZ Świdnica")</f>
        <v>0</v>
      </c>
      <c r="O78" s="104">
        <f>SUMIFS('3 stopień 20_21'!$I$9:$I$765,'3 stopień 20_21'!$G$9:$G$765,D78,'3 stopień 20_21'!$K$9:$K$765,"CKZ Wołów")</f>
        <v>0</v>
      </c>
      <c r="P78" s="104">
        <f>SUMIFS('3 stopień 20_21'!$I$9:$I$765,'3 stopień 20_21'!$G$9:$G$765,D78,'3 stopień 20_21'!$K$9:$K$765,"CKZ Ziębice")</f>
        <v>0</v>
      </c>
      <c r="Q78" s="104">
        <f>SUMIFS('3 stopień 20_21'!$I$9:$I$765,'3 stopień 20_21'!$G$9:$G$765,D78,'3 stopień 20_21'!$K$9:$K$765,"CKZ Dobrodzień")</f>
        <v>0</v>
      </c>
      <c r="R78" s="104">
        <f>SUMIFS('3 stopień 20_21'!$I$9:$I$765,'3 stopień 20_21'!$G$9:$G$765,D78,'3 stopień 20_21'!$K$9:$K$765,"CKZ Głubczyce")</f>
        <v>0</v>
      </c>
      <c r="S78" s="104">
        <f>SUMIFS('3 stopień 20_21'!$I$9:$I$765,'3 stopień 20_21'!$G$9:$G$765,D78,'3 stopień 20_21'!$K$9:$K$765,"CKZ Kędzierzyn Kożle")</f>
        <v>0</v>
      </c>
      <c r="T78" s="104">
        <f>SUMIFS('3 stopień 20_21'!$I$9:$I$765,'3 stopień 20_21'!$G$9:$G$765,D78,'3 stopień 20_21'!$K$9:$K$765,"CKZ Kluczbork")</f>
        <v>0</v>
      </c>
      <c r="U78" s="104">
        <f>SUMIFS('3 stopień 20_21'!$I$9:$I$765,'3 stopień 20_21'!$G$9:$G$765,D78,'3 stopień 20_21'!$K$9:$K$765,"CKZ Krotoszyn")</f>
        <v>0</v>
      </c>
      <c r="V78" s="104">
        <f>SUMIFS('3 stopień 20_21'!$I$9:$I$765,'3 stopień 20_21'!$G$9:$G$765,D78,'3 stopień 20_21'!$K$9:$K$765,"CKZ Olkusz")</f>
        <v>0</v>
      </c>
      <c r="W78" s="104">
        <f>SUMIFS('3 stopień 20_21'!$I$9:$I$765,'3 stopień 20_21'!$G$9:$G$765,D78,'3 stopień 20_21'!$K$9:$K$765,"CKZ Wschowa")</f>
        <v>2</v>
      </c>
      <c r="X78" s="104">
        <f>SUMIFS('3 stopień 20_21'!$I$9:$I$765,'3 stopień 20_21'!$G$9:$G$765,D78,'3 stopień 20_21'!$K$9:$K$765,"CKZ Zielona Góra")</f>
        <v>0</v>
      </c>
      <c r="Y78" s="104">
        <f>SUMIFS('3 stopień 20_21'!$I$9:$I$765,'3 stopień 20_21'!$G$9:$G$765,D78,'3 stopień 20_21'!$K$9:$K$765,"Rzemieślnicza Wałbrzych")</f>
        <v>0</v>
      </c>
      <c r="Z78" s="104">
        <f>SUMIFS('3 stopień 20_21'!$I$9:$I$765,'3 stopień 20_21'!$G$9:$G$765,D78,'3 stopień 20_21'!$K$9:$K$765,"CKZ Mosina")</f>
        <v>0</v>
      </c>
      <c r="AA78" s="104">
        <f>SUMIFS('3 stopień 20_21'!$I$9:$I$765,'3 stopień 20_21'!$G$9:$G$765,D78,'3 stopień 20_21'!$K$9:$K$765,"CKZ Opole")</f>
        <v>0</v>
      </c>
      <c r="AB78" s="104">
        <f>SUMIFS('3 stopień 20_21'!$I$9:$I$765,'3 stopień 20_21'!$G$9:$G$765,D78,'3 stopień 20_21'!$K$9:$K$765,"")</f>
        <v>0</v>
      </c>
      <c r="AC78" s="105">
        <f t="shared" si="1"/>
        <v>2</v>
      </c>
    </row>
    <row r="79" spans="2:29">
      <c r="B79" s="100" t="s">
        <v>651</v>
      </c>
      <c r="C79" s="101">
        <v>751103</v>
      </c>
      <c r="D79" s="102" t="s">
        <v>930</v>
      </c>
      <c r="E79" s="100" t="s">
        <v>778</v>
      </c>
      <c r="F79" s="103">
        <f>SUMIF('3 stopień 20_21'!G$9:G$750,D79,'3 stopień 20_21'!I$9:I$751)</f>
        <v>0</v>
      </c>
      <c r="G79" s="104">
        <f>SUMIFS('3 stopień 20_21'!$I$9:$I$765,'3 stopień 20_21'!$G$9:$G$765,D79,'3 stopień 20_21'!$K$9:$K$765,"CKZ Bielawa")</f>
        <v>0</v>
      </c>
      <c r="H79" s="104">
        <f>SUMIFS('3 stopień 20_21'!$I$9:$I$765,'3 stopień 20_21'!$G$9:$G$765,D79,'3 stopień 20_21'!$K$9:$K$765,"GCKZ Głogów")</f>
        <v>0</v>
      </c>
      <c r="I79" s="104">
        <f>SUMIFS('3 stopień 20_21'!$I$9:$I$765,'3 stopień 20_21'!$G$9:$G$765,D79,'3 stopień 20_21'!$K$9:$K$765,"CKZ Jawor")</f>
        <v>0</v>
      </c>
      <c r="J79" s="104">
        <f>SUMIFS('3 stopień 20_21'!$I$9:$I$765,'3 stopień 20_21'!$G$9:$G$765,D79,'3 stopień 20_21'!$K$9:$K$765,"JCKZ Jelenia Góra")</f>
        <v>0</v>
      </c>
      <c r="K79" s="104">
        <f>SUMIFS('3 stopień 20_21'!$I$9:$I$765,'3 stopień 20_21'!$G$9:$G$765,D79,'3 stopień 20_21'!$K$9:$K$765,"CKZ Kłodzko")</f>
        <v>0</v>
      </c>
      <c r="L79" s="104">
        <f>SUMIFS('3 stopień 20_21'!$I$9:$I$765,'3 stopień 20_21'!$G$9:$G$765,D79,'3 stopień 20_21'!$K$9:$K$765,"CKZ Legnica")</f>
        <v>0</v>
      </c>
      <c r="M79" s="104">
        <f>SUMIFS('3 stopień 20_21'!$I$9:$I$765,'3 stopień 20_21'!$G$9:$G$765,D79,'3 stopień 20_21'!$K$9:$K$765,"CKZ Oleśnica")</f>
        <v>0</v>
      </c>
      <c r="N79" s="104">
        <f>SUMIFS('3 stopień 20_21'!$I$9:$I$765,'3 stopień 20_21'!$G$9:$G$765,D79,'3 stopień 20_21'!$K$9:$K$765,"CKZ Świdnica")</f>
        <v>0</v>
      </c>
      <c r="O79" s="104">
        <f>SUMIFS('3 stopień 20_21'!$I$9:$I$765,'3 stopień 20_21'!$G$9:$G$765,D79,'3 stopień 20_21'!$K$9:$K$765,"CKZ Wołów")</f>
        <v>0</v>
      </c>
      <c r="P79" s="104">
        <f>SUMIFS('3 stopień 20_21'!$I$9:$I$765,'3 stopień 20_21'!$G$9:$G$765,D79,'3 stopień 20_21'!$K$9:$K$765,"CKZ Ziębice")</f>
        <v>0</v>
      </c>
      <c r="Q79" s="104">
        <f>SUMIFS('3 stopień 20_21'!$I$9:$I$765,'3 stopień 20_21'!$G$9:$G$765,D79,'3 stopień 20_21'!$K$9:$K$765,"CKZ Dobrodzień")</f>
        <v>0</v>
      </c>
      <c r="R79" s="104">
        <f>SUMIFS('3 stopień 20_21'!$I$9:$I$765,'3 stopień 20_21'!$G$9:$G$765,D79,'3 stopień 20_21'!$K$9:$K$765,"CKZ Głubczyce")</f>
        <v>0</v>
      </c>
      <c r="S79" s="104">
        <f>SUMIFS('3 stopień 20_21'!$I$9:$I$765,'3 stopień 20_21'!$G$9:$G$765,D79,'3 stopień 20_21'!$K$9:$K$765,"CKZ Kędzierzyn Kożle")</f>
        <v>0</v>
      </c>
      <c r="T79" s="104">
        <f>SUMIFS('3 stopień 20_21'!$I$9:$I$765,'3 stopień 20_21'!$G$9:$G$765,D79,'3 stopień 20_21'!$K$9:$K$765,"CKZ Kluczbork")</f>
        <v>0</v>
      </c>
      <c r="U79" s="104">
        <f>SUMIFS('3 stopień 20_21'!$I$9:$I$765,'3 stopień 20_21'!$G$9:$G$765,D79,'3 stopień 20_21'!$K$9:$K$765,"CKZ Krotoszyn")</f>
        <v>0</v>
      </c>
      <c r="V79" s="104">
        <f>SUMIFS('3 stopień 20_21'!$I$9:$I$765,'3 stopień 20_21'!$G$9:$G$765,D79,'3 stopień 20_21'!$K$9:$K$765,"CKZ Olkusz")</f>
        <v>0</v>
      </c>
      <c r="W79" s="104">
        <f>SUMIFS('3 stopień 20_21'!$I$9:$I$765,'3 stopień 20_21'!$G$9:$G$765,D79,'3 stopień 20_21'!$K$9:$K$765,"CKZ Wschowa")</f>
        <v>0</v>
      </c>
      <c r="X79" s="104">
        <f>SUMIFS('3 stopień 20_21'!$I$9:$I$765,'3 stopień 20_21'!$G$9:$G$765,D79,'3 stopień 20_21'!$K$9:$K$765,"CKZ Zielona Góra")</f>
        <v>0</v>
      </c>
      <c r="Y79" s="104">
        <f>SUMIFS('3 stopień 20_21'!$I$9:$I$765,'3 stopień 20_21'!$G$9:$G$765,D79,'3 stopień 20_21'!$K$9:$K$765,"Rzemieślnicza Wałbrzych")</f>
        <v>0</v>
      </c>
      <c r="Z79" s="104">
        <f>SUMIFS('3 stopień 20_21'!$I$9:$I$765,'3 stopień 20_21'!$G$9:$G$765,D79,'3 stopień 20_21'!$K$9:$K$765,"CKZ Mosina")</f>
        <v>0</v>
      </c>
      <c r="AA79" s="104">
        <f>SUMIFS('3 stopień 20_21'!$I$9:$I$765,'3 stopień 20_21'!$G$9:$G$765,D79,'3 stopień 20_21'!$K$9:$K$765,"CKZ Opole")</f>
        <v>0</v>
      </c>
      <c r="AB79" s="104">
        <f>SUMIFS('3 stopień 20_21'!$I$9:$I$765,'3 stopień 20_21'!$G$9:$G$765,D79,'3 stopień 20_21'!$K$9:$K$765,"")</f>
        <v>0</v>
      </c>
      <c r="AC79" s="105">
        <f t="shared" si="1"/>
        <v>0</v>
      </c>
    </row>
    <row r="80" spans="2:29">
      <c r="B80" s="100" t="s">
        <v>652</v>
      </c>
      <c r="C80" s="101">
        <v>742202</v>
      </c>
      <c r="D80" s="102" t="s">
        <v>931</v>
      </c>
      <c r="E80" s="100" t="s">
        <v>776</v>
      </c>
      <c r="F80" s="103">
        <f>SUMIF('3 stopień 20_21'!G$9:G$750,D80,'3 stopień 20_21'!I$9:I$751)</f>
        <v>0</v>
      </c>
      <c r="G80" s="104">
        <f>SUMIFS('3 stopień 20_21'!$I$9:$I$765,'3 stopień 20_21'!$G$9:$G$765,D80,'3 stopień 20_21'!$K$9:$K$765,"CKZ Bielawa")</f>
        <v>0</v>
      </c>
      <c r="H80" s="104">
        <f>SUMIFS('3 stopień 20_21'!$I$9:$I$765,'3 stopień 20_21'!$G$9:$G$765,D80,'3 stopień 20_21'!$K$9:$K$765,"GCKZ Głogów")</f>
        <v>0</v>
      </c>
      <c r="I80" s="104">
        <f>SUMIFS('3 stopień 20_21'!$I$9:$I$765,'3 stopień 20_21'!$G$9:$G$765,D80,'3 stopień 20_21'!$K$9:$K$765,"CKZ Jawor")</f>
        <v>0</v>
      </c>
      <c r="J80" s="104">
        <f>SUMIFS('3 stopień 20_21'!$I$9:$I$765,'3 stopień 20_21'!$G$9:$G$765,D80,'3 stopień 20_21'!$K$9:$K$765,"JCKZ Jelenia Góra")</f>
        <v>0</v>
      </c>
      <c r="K80" s="104">
        <f>SUMIFS('3 stopień 20_21'!$I$9:$I$765,'3 stopień 20_21'!$G$9:$G$765,D80,'3 stopień 20_21'!$K$9:$K$765,"CKZ Kłodzko")</f>
        <v>0</v>
      </c>
      <c r="L80" s="104">
        <f>SUMIFS('3 stopień 20_21'!$I$9:$I$765,'3 stopień 20_21'!$G$9:$G$765,D80,'3 stopień 20_21'!$K$9:$K$765,"CKZ Legnica")</f>
        <v>0</v>
      </c>
      <c r="M80" s="104">
        <f>SUMIFS('3 stopień 20_21'!$I$9:$I$765,'3 stopień 20_21'!$G$9:$G$765,D80,'3 stopień 20_21'!$K$9:$K$765,"CKZ Oleśnica")</f>
        <v>0</v>
      </c>
      <c r="N80" s="104">
        <f>SUMIFS('3 stopień 20_21'!$I$9:$I$765,'3 stopień 20_21'!$G$9:$G$765,D80,'3 stopień 20_21'!$K$9:$K$765,"CKZ Świdnica")</f>
        <v>0</v>
      </c>
      <c r="O80" s="104">
        <f>SUMIFS('3 stopień 20_21'!$I$9:$I$765,'3 stopień 20_21'!$G$9:$G$765,D80,'3 stopień 20_21'!$K$9:$K$765,"CKZ Wołów")</f>
        <v>0</v>
      </c>
      <c r="P80" s="104">
        <f>SUMIFS('3 stopień 20_21'!$I$9:$I$765,'3 stopień 20_21'!$G$9:$G$765,D80,'3 stopień 20_21'!$K$9:$K$765,"CKZ Ziębice")</f>
        <v>0</v>
      </c>
      <c r="Q80" s="104">
        <f>SUMIFS('3 stopień 20_21'!$I$9:$I$765,'3 stopień 20_21'!$G$9:$G$765,D80,'3 stopień 20_21'!$K$9:$K$765,"CKZ Dobrodzień")</f>
        <v>0</v>
      </c>
      <c r="R80" s="104">
        <f>SUMIFS('3 stopień 20_21'!$I$9:$I$765,'3 stopień 20_21'!$G$9:$G$765,D80,'3 stopień 20_21'!$K$9:$K$765,"CKZ Głubczyce")</f>
        <v>0</v>
      </c>
      <c r="S80" s="104">
        <f>SUMIFS('3 stopień 20_21'!$I$9:$I$765,'3 stopień 20_21'!$G$9:$G$765,D80,'3 stopień 20_21'!$K$9:$K$765,"CKZ Kędzierzyn Kożle")</f>
        <v>0</v>
      </c>
      <c r="T80" s="104">
        <f>SUMIFS('3 stopień 20_21'!$I$9:$I$765,'3 stopień 20_21'!$G$9:$G$765,D80,'3 stopień 20_21'!$K$9:$K$765,"CKZ Kluczbork")</f>
        <v>0</v>
      </c>
      <c r="U80" s="104">
        <f>SUMIFS('3 stopień 20_21'!$I$9:$I$765,'3 stopień 20_21'!$G$9:$G$765,D80,'3 stopień 20_21'!$K$9:$K$765,"CKZ Krotoszyn")</f>
        <v>0</v>
      </c>
      <c r="V80" s="104">
        <f>SUMIFS('3 stopień 20_21'!$I$9:$I$765,'3 stopień 20_21'!$G$9:$G$765,D80,'3 stopień 20_21'!$K$9:$K$765,"CKZ Olkusz")</f>
        <v>0</v>
      </c>
      <c r="W80" s="104">
        <f>SUMIFS('3 stopień 20_21'!$I$9:$I$765,'3 stopień 20_21'!$G$9:$G$765,D80,'3 stopień 20_21'!$K$9:$K$765,"CKZ Wschowa")</f>
        <v>0</v>
      </c>
      <c r="X80" s="104">
        <f>SUMIFS('3 stopień 20_21'!$I$9:$I$765,'3 stopień 20_21'!$G$9:$G$765,D80,'3 stopień 20_21'!$K$9:$K$765,"CKZ Zielona Góra")</f>
        <v>0</v>
      </c>
      <c r="Y80" s="104">
        <f>SUMIFS('3 stopień 20_21'!$I$9:$I$765,'3 stopień 20_21'!$G$9:$G$765,D80,'3 stopień 20_21'!$K$9:$K$765,"Rzemieślnicza Wałbrzych")</f>
        <v>0</v>
      </c>
      <c r="Z80" s="104">
        <f>SUMIFS('3 stopień 20_21'!$I$9:$I$765,'3 stopień 20_21'!$G$9:$G$765,D80,'3 stopień 20_21'!$K$9:$K$765,"CKZ Mosina")</f>
        <v>0</v>
      </c>
      <c r="AA80" s="104">
        <f>SUMIFS('3 stopień 20_21'!$I$9:$I$765,'3 stopień 20_21'!$G$9:$G$765,D80,'3 stopień 20_21'!$K$9:$K$765,"CKZ Opole")</f>
        <v>0</v>
      </c>
      <c r="AB80" s="104">
        <f>SUMIFS('3 stopień 20_21'!$I$9:$I$765,'3 stopień 20_21'!$G$9:$G$765,D80,'3 stopień 20_21'!$K$9:$K$765,"")</f>
        <v>0</v>
      </c>
      <c r="AC80" s="105">
        <f t="shared" si="1"/>
        <v>0</v>
      </c>
    </row>
    <row r="81" spans="2:29">
      <c r="B81" s="100" t="s">
        <v>518</v>
      </c>
      <c r="C81" s="101">
        <v>832201</v>
      </c>
      <c r="D81" s="101" t="s">
        <v>902</v>
      </c>
      <c r="E81" s="100" t="s">
        <v>775</v>
      </c>
      <c r="F81" s="103">
        <f>SUMIF('3 stopień 20_21'!G$9:G$750,D81,'3 stopień 20_21'!I$9:I$751)</f>
        <v>0</v>
      </c>
      <c r="G81" s="104">
        <f>SUMIFS('3 stopień 20_21'!$I$9:$I$765,'3 stopień 20_21'!$G$9:$G$765,D81,'3 stopień 20_21'!$K$9:$K$765,"CKZ Bielawa")</f>
        <v>0</v>
      </c>
      <c r="H81" s="104">
        <f>SUMIFS('3 stopień 20_21'!$I$9:$I$765,'3 stopień 20_21'!$G$9:$G$765,D81,'3 stopień 20_21'!$K$9:$K$765,"GCKZ Głogów")</f>
        <v>0</v>
      </c>
      <c r="I81" s="104">
        <f>SUMIFS('3 stopień 20_21'!$I$9:$I$765,'3 stopień 20_21'!$G$9:$G$765,D81,'3 stopień 20_21'!$K$9:$K$765,"CKZ Jawor")</f>
        <v>0</v>
      </c>
      <c r="J81" s="104">
        <f>SUMIFS('3 stopień 20_21'!$I$9:$I$765,'3 stopień 20_21'!$G$9:$G$765,D81,'3 stopień 20_21'!$K$9:$K$765,"JCKZ Jelenia Góra")</f>
        <v>0</v>
      </c>
      <c r="K81" s="104">
        <f>SUMIFS('3 stopień 20_21'!$I$9:$I$765,'3 stopień 20_21'!$G$9:$G$765,D81,'3 stopień 20_21'!$K$9:$K$765,"CKZ Kłodzko")</f>
        <v>0</v>
      </c>
      <c r="L81" s="104">
        <f>SUMIFS('3 stopień 20_21'!$I$9:$I$765,'3 stopień 20_21'!$G$9:$G$765,D81,'3 stopień 20_21'!$K$9:$K$765,"CKZ Legnica")</f>
        <v>0</v>
      </c>
      <c r="M81" s="104">
        <f>SUMIFS('3 stopień 20_21'!$I$9:$I$765,'3 stopień 20_21'!$G$9:$G$765,D81,'3 stopień 20_21'!$K$9:$K$765,"CKZ Oleśnica")</f>
        <v>0</v>
      </c>
      <c r="N81" s="104">
        <f>SUMIFS('3 stopień 20_21'!$I$9:$I$765,'3 stopień 20_21'!$G$9:$G$765,D81,'3 stopień 20_21'!$K$9:$K$765,"CKZ Świdnica")</f>
        <v>0</v>
      </c>
      <c r="O81" s="104">
        <f>SUMIFS('3 stopień 20_21'!$I$9:$I$765,'3 stopień 20_21'!$G$9:$G$765,D81,'3 stopień 20_21'!$K$9:$K$765,"CKZ Wołów")</f>
        <v>0</v>
      </c>
      <c r="P81" s="104">
        <f>SUMIFS('3 stopień 20_21'!$I$9:$I$765,'3 stopień 20_21'!$G$9:$G$765,D81,'3 stopień 20_21'!$K$9:$K$765,"CKZ Ziębice")</f>
        <v>0</v>
      </c>
      <c r="Q81" s="104">
        <f>SUMIFS('3 stopień 20_21'!$I$9:$I$765,'3 stopień 20_21'!$G$9:$G$765,D81,'3 stopień 20_21'!$K$9:$K$765,"CKZ Dobrodzień")</f>
        <v>0</v>
      </c>
      <c r="R81" s="104">
        <f>SUMIFS('3 stopień 20_21'!$I$9:$I$765,'3 stopień 20_21'!$G$9:$G$765,D81,'3 stopień 20_21'!$K$9:$K$765,"CKZ Głubczyce")</f>
        <v>0</v>
      </c>
      <c r="S81" s="104">
        <f>SUMIFS('3 stopień 20_21'!$I$9:$I$765,'3 stopień 20_21'!$G$9:$G$765,D81,'3 stopień 20_21'!$K$9:$K$765,"CKZ Kędzierzyn Kożle")</f>
        <v>0</v>
      </c>
      <c r="T81" s="104">
        <f>SUMIFS('3 stopień 20_21'!$I$9:$I$765,'3 stopień 20_21'!$G$9:$G$765,D81,'3 stopień 20_21'!$K$9:$K$765,"CKZ Kluczbork")</f>
        <v>0</v>
      </c>
      <c r="U81" s="104">
        <f>SUMIFS('3 stopień 20_21'!$I$9:$I$765,'3 stopień 20_21'!$G$9:$G$765,D81,'3 stopień 20_21'!$K$9:$K$765,"CKZ Krotoszyn")</f>
        <v>0</v>
      </c>
      <c r="V81" s="104">
        <f>SUMIFS('3 stopień 20_21'!$I$9:$I$765,'3 stopień 20_21'!$G$9:$G$765,D81,'3 stopień 20_21'!$K$9:$K$765,"CKZ Olkusz")</f>
        <v>0</v>
      </c>
      <c r="W81" s="104">
        <f>SUMIFS('3 stopień 20_21'!$I$9:$I$765,'3 stopień 20_21'!$G$9:$G$765,D81,'3 stopień 20_21'!$K$9:$K$765,"CKZ Wschowa")</f>
        <v>0</v>
      </c>
      <c r="X81" s="104">
        <f>SUMIFS('3 stopień 20_21'!$I$9:$I$765,'3 stopień 20_21'!$G$9:$G$765,D81,'3 stopień 20_21'!$K$9:$K$765,"CKZ Zielona Góra")</f>
        <v>0</v>
      </c>
      <c r="Y81" s="104">
        <f>SUMIFS('3 stopień 20_21'!$I$9:$I$765,'3 stopień 20_21'!$G$9:$G$765,D81,'3 stopień 20_21'!$K$9:$K$765,"Rzemieślnicza Wałbrzych")</f>
        <v>0</v>
      </c>
      <c r="Z81" s="104">
        <f>SUMIFS('3 stopień 20_21'!$I$9:$I$765,'3 stopień 20_21'!$G$9:$G$765,D81,'3 stopień 20_21'!$K$9:$K$765,"CKZ Mosina")</f>
        <v>0</v>
      </c>
      <c r="AA81" s="104">
        <f>SUMIFS('3 stopień 20_21'!$I$9:$I$765,'3 stopień 20_21'!$G$9:$G$765,D81,'3 stopień 20_21'!$K$9:$K$765,"CKZ Opole")</f>
        <v>0</v>
      </c>
      <c r="AB81" s="104">
        <f>SUMIFS('3 stopień 20_21'!$I$9:$I$765,'3 stopień 20_21'!$G$9:$G$765,D81,'3 stopień 20_21'!$K$9:$K$765,"")</f>
        <v>0</v>
      </c>
      <c r="AC81" s="105">
        <f t="shared" si="1"/>
        <v>0</v>
      </c>
    </row>
    <row r="82" spans="2:29">
      <c r="B82" s="100" t="s">
        <v>653</v>
      </c>
      <c r="C82" s="101">
        <v>711603</v>
      </c>
      <c r="D82" s="102" t="s">
        <v>932</v>
      </c>
      <c r="E82" s="100" t="s">
        <v>773</v>
      </c>
      <c r="F82" s="103">
        <f>SUMIF('3 stopień 20_21'!G$9:G$750,D82,'3 stopień 20_21'!I$9:I$751)</f>
        <v>0</v>
      </c>
      <c r="G82" s="104">
        <f>SUMIFS('3 stopień 20_21'!$I$9:$I$765,'3 stopień 20_21'!$G$9:$G$765,D82,'3 stopień 20_21'!$K$9:$K$765,"CKZ Bielawa")</f>
        <v>0</v>
      </c>
      <c r="H82" s="104">
        <f>SUMIFS('3 stopień 20_21'!$I$9:$I$765,'3 stopień 20_21'!$G$9:$G$765,D82,'3 stopień 20_21'!$K$9:$K$765,"GCKZ Głogów")</f>
        <v>0</v>
      </c>
      <c r="I82" s="104">
        <f>SUMIFS('3 stopień 20_21'!$I$9:$I$765,'3 stopień 20_21'!$G$9:$G$765,D82,'3 stopień 20_21'!$K$9:$K$765,"CKZ Jawor")</f>
        <v>0</v>
      </c>
      <c r="J82" s="104">
        <f>SUMIFS('3 stopień 20_21'!$I$9:$I$765,'3 stopień 20_21'!$G$9:$G$765,D82,'3 stopień 20_21'!$K$9:$K$765,"JCKZ Jelenia Góra")</f>
        <v>0</v>
      </c>
      <c r="K82" s="104">
        <f>SUMIFS('3 stopień 20_21'!$I$9:$I$765,'3 stopień 20_21'!$G$9:$G$765,D82,'3 stopień 20_21'!$K$9:$K$765,"CKZ Kłodzko")</f>
        <v>0</v>
      </c>
      <c r="L82" s="104">
        <f>SUMIFS('3 stopień 20_21'!$I$9:$I$765,'3 stopień 20_21'!$G$9:$G$765,D82,'3 stopień 20_21'!$K$9:$K$765,"CKZ Legnica")</f>
        <v>0</v>
      </c>
      <c r="M82" s="104">
        <f>SUMIFS('3 stopień 20_21'!$I$9:$I$765,'3 stopień 20_21'!$G$9:$G$765,D82,'3 stopień 20_21'!$K$9:$K$765,"CKZ Oleśnica")</f>
        <v>0</v>
      </c>
      <c r="N82" s="104">
        <f>SUMIFS('3 stopień 20_21'!$I$9:$I$765,'3 stopień 20_21'!$G$9:$G$765,D82,'3 stopień 20_21'!$K$9:$K$765,"CKZ Świdnica")</f>
        <v>0</v>
      </c>
      <c r="O82" s="104">
        <f>SUMIFS('3 stopień 20_21'!$I$9:$I$765,'3 stopień 20_21'!$G$9:$G$765,D82,'3 stopień 20_21'!$K$9:$K$765,"CKZ Wołów")</f>
        <v>0</v>
      </c>
      <c r="P82" s="104">
        <f>SUMIFS('3 stopień 20_21'!$I$9:$I$765,'3 stopień 20_21'!$G$9:$G$765,D82,'3 stopień 20_21'!$K$9:$K$765,"CKZ Ziębice")</f>
        <v>0</v>
      </c>
      <c r="Q82" s="104">
        <f>SUMIFS('3 stopień 20_21'!$I$9:$I$765,'3 stopień 20_21'!$G$9:$G$765,D82,'3 stopień 20_21'!$K$9:$K$765,"CKZ Dobrodzień")</f>
        <v>0</v>
      </c>
      <c r="R82" s="104">
        <f>SUMIFS('3 stopień 20_21'!$I$9:$I$765,'3 stopień 20_21'!$G$9:$G$765,D82,'3 stopień 20_21'!$K$9:$K$765,"CKZ Głubczyce")</f>
        <v>0</v>
      </c>
      <c r="S82" s="104">
        <f>SUMIFS('3 stopień 20_21'!$I$9:$I$765,'3 stopień 20_21'!$G$9:$G$765,D82,'3 stopień 20_21'!$K$9:$K$765,"CKZ Kędzierzyn Kożle")</f>
        <v>0</v>
      </c>
      <c r="T82" s="104">
        <f>SUMIFS('3 stopień 20_21'!$I$9:$I$765,'3 stopień 20_21'!$G$9:$G$765,D82,'3 stopień 20_21'!$K$9:$K$765,"CKZ Kluczbork")</f>
        <v>0</v>
      </c>
      <c r="U82" s="104">
        <f>SUMIFS('3 stopień 20_21'!$I$9:$I$765,'3 stopień 20_21'!$G$9:$G$765,D82,'3 stopień 20_21'!$K$9:$K$765,"CKZ Krotoszyn")</f>
        <v>0</v>
      </c>
      <c r="V82" s="104">
        <f>SUMIFS('3 stopień 20_21'!$I$9:$I$765,'3 stopień 20_21'!$G$9:$G$765,D82,'3 stopień 20_21'!$K$9:$K$765,"CKZ Olkusz")</f>
        <v>0</v>
      </c>
      <c r="W82" s="104">
        <f>SUMIFS('3 stopień 20_21'!$I$9:$I$765,'3 stopień 20_21'!$G$9:$G$765,D82,'3 stopień 20_21'!$K$9:$K$765,"CKZ Wschowa")</f>
        <v>0</v>
      </c>
      <c r="X82" s="104">
        <f>SUMIFS('3 stopień 20_21'!$I$9:$I$765,'3 stopień 20_21'!$G$9:$G$765,D82,'3 stopień 20_21'!$K$9:$K$765,"CKZ Zielona Góra")</f>
        <v>0</v>
      </c>
      <c r="Y82" s="104">
        <f>SUMIFS('3 stopień 20_21'!$I$9:$I$765,'3 stopień 20_21'!$G$9:$G$765,D82,'3 stopień 20_21'!$K$9:$K$765,"Rzemieślnicza Wałbrzych")</f>
        <v>0</v>
      </c>
      <c r="Z82" s="104">
        <f>SUMIFS('3 stopień 20_21'!$I$9:$I$765,'3 stopień 20_21'!$G$9:$G$765,D82,'3 stopień 20_21'!$K$9:$K$765,"CKZ Mosina")</f>
        <v>0</v>
      </c>
      <c r="AA82" s="104">
        <f>SUMIFS('3 stopień 20_21'!$I$9:$I$765,'3 stopień 20_21'!$G$9:$G$765,D82,'3 stopień 20_21'!$K$9:$K$765,"CKZ Opole")</f>
        <v>0</v>
      </c>
      <c r="AB82" s="104">
        <f>SUMIFS('3 stopień 20_21'!$I$9:$I$765,'3 stopień 20_21'!$G$9:$G$765,D82,'3 stopień 20_21'!$K$9:$K$765,"")</f>
        <v>0</v>
      </c>
      <c r="AC82" s="105">
        <f t="shared" si="1"/>
        <v>0</v>
      </c>
    </row>
    <row r="83" spans="2:29">
      <c r="B83" s="100" t="s">
        <v>655</v>
      </c>
      <c r="C83" s="101">
        <v>711701</v>
      </c>
      <c r="D83" s="102" t="s">
        <v>933</v>
      </c>
      <c r="E83" s="100" t="s">
        <v>769</v>
      </c>
      <c r="F83" s="103">
        <f>SUMIF('3 stopień 20_21'!G$9:G$750,D83,'3 stopień 20_21'!I$9:I$751)</f>
        <v>0</v>
      </c>
      <c r="G83" s="104">
        <f>SUMIFS('3 stopień 20_21'!$I$9:$I$765,'3 stopień 20_21'!$G$9:$G$765,D83,'3 stopień 20_21'!$K$9:$K$765,"CKZ Bielawa")</f>
        <v>0</v>
      </c>
      <c r="H83" s="104">
        <f>SUMIFS('3 stopień 20_21'!$I$9:$I$765,'3 stopień 20_21'!$G$9:$G$765,D83,'3 stopień 20_21'!$K$9:$K$765,"GCKZ Głogów")</f>
        <v>0</v>
      </c>
      <c r="I83" s="104">
        <f>SUMIFS('3 stopień 20_21'!$I$9:$I$765,'3 stopień 20_21'!$G$9:$G$765,D83,'3 stopień 20_21'!$K$9:$K$765,"CKZ Jawor")</f>
        <v>0</v>
      </c>
      <c r="J83" s="104">
        <f>SUMIFS('3 stopień 20_21'!$I$9:$I$765,'3 stopień 20_21'!$G$9:$G$765,D83,'3 stopień 20_21'!$K$9:$K$765,"JCKZ Jelenia Góra")</f>
        <v>0</v>
      </c>
      <c r="K83" s="104">
        <f>SUMIFS('3 stopień 20_21'!$I$9:$I$765,'3 stopień 20_21'!$G$9:$G$765,D83,'3 stopień 20_21'!$K$9:$K$765,"CKZ Kłodzko")</f>
        <v>0</v>
      </c>
      <c r="L83" s="104">
        <f>SUMIFS('3 stopień 20_21'!$I$9:$I$765,'3 stopień 20_21'!$G$9:$G$765,D83,'3 stopień 20_21'!$K$9:$K$765,"CKZ Legnica")</f>
        <v>0</v>
      </c>
      <c r="M83" s="104">
        <f>SUMIFS('3 stopień 20_21'!$I$9:$I$765,'3 stopień 20_21'!$G$9:$G$765,D83,'3 stopień 20_21'!$K$9:$K$765,"CKZ Oleśnica")</f>
        <v>0</v>
      </c>
      <c r="N83" s="104">
        <f>SUMIFS('3 stopień 20_21'!$I$9:$I$765,'3 stopień 20_21'!$G$9:$G$765,D83,'3 stopień 20_21'!$K$9:$K$765,"CKZ Świdnica")</f>
        <v>0</v>
      </c>
      <c r="O83" s="104">
        <f>SUMIFS('3 stopień 20_21'!$I$9:$I$765,'3 stopień 20_21'!$G$9:$G$765,D83,'3 stopień 20_21'!$K$9:$K$765,"CKZ Wołów")</f>
        <v>0</v>
      </c>
      <c r="P83" s="104">
        <f>SUMIFS('3 stopień 20_21'!$I$9:$I$765,'3 stopień 20_21'!$G$9:$G$765,D83,'3 stopień 20_21'!$K$9:$K$765,"CKZ Ziębice")</f>
        <v>0</v>
      </c>
      <c r="Q83" s="104">
        <f>SUMIFS('3 stopień 20_21'!$I$9:$I$765,'3 stopień 20_21'!$G$9:$G$765,D83,'3 stopień 20_21'!$K$9:$K$765,"CKZ Dobrodzień")</f>
        <v>0</v>
      </c>
      <c r="R83" s="104">
        <f>SUMIFS('3 stopień 20_21'!$I$9:$I$765,'3 stopień 20_21'!$G$9:$G$765,D83,'3 stopień 20_21'!$K$9:$K$765,"CKZ Głubczyce")</f>
        <v>0</v>
      </c>
      <c r="S83" s="104">
        <f>SUMIFS('3 stopień 20_21'!$I$9:$I$765,'3 stopień 20_21'!$G$9:$G$765,D83,'3 stopień 20_21'!$K$9:$K$765,"CKZ Kędzierzyn Kożle")</f>
        <v>0</v>
      </c>
      <c r="T83" s="104">
        <f>SUMIFS('3 stopień 20_21'!$I$9:$I$765,'3 stopień 20_21'!$G$9:$G$765,D83,'3 stopień 20_21'!$K$9:$K$765,"CKZ Kluczbork")</f>
        <v>0</v>
      </c>
      <c r="U83" s="104">
        <f>SUMIFS('3 stopień 20_21'!$I$9:$I$765,'3 stopień 20_21'!$G$9:$G$765,D83,'3 stopień 20_21'!$K$9:$K$765,"CKZ Krotoszyn")</f>
        <v>0</v>
      </c>
      <c r="V83" s="104">
        <f>SUMIFS('3 stopień 20_21'!$I$9:$I$765,'3 stopień 20_21'!$G$9:$G$765,D83,'3 stopień 20_21'!$K$9:$K$765,"CKZ Olkusz")</f>
        <v>0</v>
      </c>
      <c r="W83" s="104">
        <f>SUMIFS('3 stopień 20_21'!$I$9:$I$765,'3 stopień 20_21'!$G$9:$G$765,D83,'3 stopień 20_21'!$K$9:$K$765,"CKZ Wschowa")</f>
        <v>0</v>
      </c>
      <c r="X83" s="104">
        <f>SUMIFS('3 stopień 20_21'!$I$9:$I$765,'3 stopień 20_21'!$G$9:$G$765,D83,'3 stopień 20_21'!$K$9:$K$765,"CKZ Zielona Góra")</f>
        <v>0</v>
      </c>
      <c r="Y83" s="104">
        <f>SUMIFS('3 stopień 20_21'!$I$9:$I$765,'3 stopień 20_21'!$G$9:$G$765,D83,'3 stopień 20_21'!$K$9:$K$765,"Rzemieślnicza Wałbrzych")</f>
        <v>0</v>
      </c>
      <c r="Z83" s="104">
        <f>SUMIFS('3 stopień 20_21'!$I$9:$I$765,'3 stopień 20_21'!$G$9:$G$765,D83,'3 stopień 20_21'!$K$9:$K$765,"CKZ Mosina")</f>
        <v>0</v>
      </c>
      <c r="AA83" s="104">
        <f>SUMIFS('3 stopień 20_21'!$I$9:$I$765,'3 stopień 20_21'!$G$9:$G$765,D83,'3 stopień 20_21'!$K$9:$K$765,"CKZ Opole")</f>
        <v>0</v>
      </c>
      <c r="AB83" s="104">
        <f>SUMIFS('3 stopień 20_21'!$I$9:$I$765,'3 stopień 20_21'!$G$9:$G$765,D83,'3 stopień 20_21'!$K$9:$K$765,"")</f>
        <v>0</v>
      </c>
      <c r="AC83" s="105">
        <f t="shared" si="1"/>
        <v>0</v>
      </c>
    </row>
    <row r="84" spans="2:29">
      <c r="G84" s="88">
        <f>SUM(G6:G83)</f>
        <v>26</v>
      </c>
      <c r="H84" s="88">
        <f t="shared" ref="H84:AB84" si="2">SUM(H6:H83)</f>
        <v>0</v>
      </c>
      <c r="I84" s="88">
        <f t="shared" si="2"/>
        <v>0</v>
      </c>
      <c r="J84" s="88">
        <f t="shared" si="2"/>
        <v>82</v>
      </c>
      <c r="K84" s="88">
        <f t="shared" si="2"/>
        <v>72</v>
      </c>
      <c r="L84" s="88">
        <f t="shared" si="2"/>
        <v>221</v>
      </c>
      <c r="M84" s="88">
        <f t="shared" si="2"/>
        <v>251</v>
      </c>
      <c r="N84" s="88">
        <f t="shared" si="2"/>
        <v>343</v>
      </c>
      <c r="O84" s="88">
        <f t="shared" si="2"/>
        <v>81</v>
      </c>
      <c r="P84" s="88">
        <f t="shared" si="2"/>
        <v>55</v>
      </c>
      <c r="Q84" s="88">
        <f t="shared" si="2"/>
        <v>3</v>
      </c>
      <c r="R84" s="88">
        <f t="shared" si="2"/>
        <v>5</v>
      </c>
      <c r="S84" s="88">
        <f t="shared" si="2"/>
        <v>0</v>
      </c>
      <c r="T84" s="88">
        <f t="shared" si="2"/>
        <v>0</v>
      </c>
      <c r="U84" s="88">
        <f t="shared" si="2"/>
        <v>3</v>
      </c>
      <c r="V84" s="88">
        <f t="shared" si="2"/>
        <v>1</v>
      </c>
      <c r="W84" s="88">
        <f t="shared" si="2"/>
        <v>73</v>
      </c>
      <c r="X84" s="88">
        <f t="shared" si="2"/>
        <v>36</v>
      </c>
      <c r="Y84" s="88">
        <f t="shared" si="2"/>
        <v>9</v>
      </c>
      <c r="Z84" s="88">
        <f t="shared" si="2"/>
        <v>0</v>
      </c>
      <c r="AA84" s="88">
        <f t="shared" si="2"/>
        <v>4</v>
      </c>
      <c r="AB84" s="88">
        <f t="shared" si="2"/>
        <v>0</v>
      </c>
    </row>
    <row r="88" spans="2:29" ht="15.75" customHeight="1"/>
    <row r="90" spans="2:29" ht="15.75" customHeight="1"/>
    <row r="92" spans="2:29" ht="15.75" customHeight="1"/>
  </sheetData>
  <autoFilter ref="B5:AB84"/>
  <mergeCells count="3">
    <mergeCell ref="B3:B4"/>
    <mergeCell ref="C3:C4"/>
    <mergeCell ref="G3:A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opLeftCell="B1" workbookViewId="0">
      <selection activeCell="B1" sqref="A1:XFD60"/>
    </sheetView>
  </sheetViews>
  <sheetFormatPr defaultRowHeight="15"/>
  <cols>
    <col min="3" max="3" width="101.85546875" bestFit="1" customWidth="1"/>
    <col min="4" max="4" width="17.28515625" bestFit="1" customWidth="1"/>
    <col min="5" max="5" width="40.42578125" bestFit="1" customWidth="1"/>
    <col min="6" max="6" width="35.85546875" bestFit="1" customWidth="1"/>
    <col min="7" max="7" width="23.28515625" bestFit="1" customWidth="1"/>
    <col min="8" max="8" width="21.5703125" bestFit="1" customWidth="1"/>
    <col min="9" max="9" width="17.42578125" bestFit="1" customWidth="1"/>
    <col min="10" max="10" width="19.140625" bestFit="1" customWidth="1"/>
    <col min="11" max="11" width="10" bestFit="1" customWidth="1"/>
  </cols>
  <sheetData>
    <row r="1" spans="2:9">
      <c r="B1" s="167" t="s">
        <v>1182</v>
      </c>
      <c r="C1" s="167" t="s">
        <v>1178</v>
      </c>
      <c r="D1" s="167" t="s">
        <v>1179</v>
      </c>
      <c r="E1" s="167" t="s">
        <v>1180</v>
      </c>
      <c r="F1" s="167"/>
      <c r="G1" s="167" t="s">
        <v>1181</v>
      </c>
      <c r="H1" s="167" t="s">
        <v>1285</v>
      </c>
      <c r="I1" s="167" t="s">
        <v>1285</v>
      </c>
    </row>
    <row r="2" spans="2:9" hidden="1">
      <c r="B2" s="166" t="s">
        <v>5</v>
      </c>
      <c r="C2" t="str">
        <f>'2 stopień 20_21'!C109</f>
        <v>Branżowa Szkoła I Stopnia Cechu Rzemiosł Różnych i Małej Przedsiębiorczości w Bielawie</v>
      </c>
      <c r="D2" t="str">
        <f>'2 stopień 20_21'!D109</f>
        <v>Bielawa</v>
      </c>
      <c r="E2" s="170" t="s">
        <v>1288</v>
      </c>
      <c r="G2" t="s">
        <v>1184</v>
      </c>
      <c r="H2">
        <v>748332116</v>
      </c>
    </row>
    <row r="3" spans="2:9" hidden="1">
      <c r="B3" s="166" t="s">
        <v>6</v>
      </c>
      <c r="C3" t="str">
        <f>'2 stopień 20_21'!C456</f>
        <v xml:space="preserve">Szkoła Wielobranżowa w Bielawie </v>
      </c>
      <c r="D3" t="str">
        <f>'2 stopień 20_21'!D456</f>
        <v>Bielawa</v>
      </c>
      <c r="E3" s="170" t="s">
        <v>1286</v>
      </c>
      <c r="F3" t="s">
        <v>1287</v>
      </c>
      <c r="G3" t="s">
        <v>1183</v>
      </c>
      <c r="H3">
        <v>748331377</v>
      </c>
    </row>
    <row r="4" spans="2:9" hidden="1">
      <c r="B4" s="166" t="s">
        <v>7</v>
      </c>
      <c r="C4" t="str">
        <f>'2 stopień 20_21'!C405</f>
        <v>Branżowa Szkoła I Stopnia im. św. Barbary w Zespole Szkół Zawodowych w Bogatyni</v>
      </c>
      <c r="D4" t="str">
        <f>'2 stopień 20_21'!D405</f>
        <v>Bogatynia</v>
      </c>
      <c r="E4" s="170" t="s">
        <v>1289</v>
      </c>
      <c r="G4" t="s">
        <v>1185</v>
      </c>
      <c r="H4">
        <v>757733374</v>
      </c>
    </row>
    <row r="5" spans="2:9" hidden="1">
      <c r="B5" s="166" t="s">
        <v>8</v>
      </c>
      <c r="C5" t="str">
        <f>'3 stopień 20_21'!C156</f>
        <v>Branżowa szkoła I Stopnia w Zespole Szkół Handlowych i Usługowych im.Jana Kochanowskiego</v>
      </c>
      <c r="D5" t="str">
        <f>'3 stopień 20_21'!D156</f>
        <v>Bolesławiec</v>
      </c>
      <c r="E5" t="s">
        <v>1189</v>
      </c>
      <c r="G5" t="s">
        <v>1188</v>
      </c>
      <c r="H5">
        <v>757322825</v>
      </c>
    </row>
    <row r="6" spans="2:9" hidden="1">
      <c r="B6" s="166" t="s">
        <v>9</v>
      </c>
      <c r="C6" t="str">
        <f>'2 stopień 20_21'!C537</f>
        <v xml:space="preserve">Branżowa Szkoła I Stopnia Nr 2 w Zespole Szkół Budowlanych </v>
      </c>
      <c r="D6" t="str">
        <f>'2 stopień 20_21'!D537</f>
        <v>Bolesławiec</v>
      </c>
      <c r="E6" t="s">
        <v>1187</v>
      </c>
      <c r="G6" t="s">
        <v>1186</v>
      </c>
      <c r="H6">
        <v>757328378</v>
      </c>
    </row>
    <row r="7" spans="2:9" hidden="1">
      <c r="B7" s="166" t="s">
        <v>10</v>
      </c>
      <c r="C7" t="str">
        <f>'2 stopień 20_21'!C412</f>
        <v>Branżowa Szkoła im. KEN w Brzegu Dolnym</v>
      </c>
      <c r="D7" t="str">
        <f>'2 stopień 20_21'!D412</f>
        <v>Brzeg Dolny</v>
      </c>
      <c r="E7" t="s">
        <v>1191</v>
      </c>
      <c r="G7" t="s">
        <v>1190</v>
      </c>
      <c r="H7">
        <v>713195894</v>
      </c>
    </row>
    <row r="8" spans="2:9" hidden="1">
      <c r="B8" s="166" t="s">
        <v>11</v>
      </c>
      <c r="C8" t="str">
        <f>'2 stopień 20_21'!C426</f>
        <v>Branżowa Szkoła I Stopnia w Bystrzycy Kłodzkiej</v>
      </c>
      <c r="D8" t="str">
        <f>'2 stopień 20_21'!D426</f>
        <v>Bystrzyca Kłodzka</v>
      </c>
      <c r="E8" t="s">
        <v>1193</v>
      </c>
      <c r="G8" t="s">
        <v>1192</v>
      </c>
      <c r="H8">
        <v>748111814</v>
      </c>
    </row>
    <row r="9" spans="2:9" hidden="1">
      <c r="B9" s="166" t="s">
        <v>12</v>
      </c>
      <c r="C9" t="str">
        <f>'2 stopień 20_21'!C201</f>
        <v>Branżowa szkoła I stopnia w Chocianowie</v>
      </c>
      <c r="D9" t="str">
        <f>'2 stopień 20_21'!D201</f>
        <v>Chocianów</v>
      </c>
      <c r="E9" t="s">
        <v>1195</v>
      </c>
      <c r="G9" t="s">
        <v>1194</v>
      </c>
      <c r="H9">
        <v>768185166</v>
      </c>
    </row>
    <row r="10" spans="2:9" hidden="1">
      <c r="B10" s="166" t="s">
        <v>13</v>
      </c>
      <c r="C10" t="str">
        <f>'2 stopień 20_21'!C261</f>
        <v>Powiatowy Zespół Szkół w Chojnowie</v>
      </c>
      <c r="D10" t="str">
        <f>'2 stopień 20_21'!D261</f>
        <v>Chojnów</v>
      </c>
      <c r="E10" t="s">
        <v>1197</v>
      </c>
      <c r="G10" t="s">
        <v>1196</v>
      </c>
      <c r="H10">
        <v>768196510</v>
      </c>
    </row>
    <row r="11" spans="2:9" hidden="1">
      <c r="B11" s="166" t="s">
        <v>14</v>
      </c>
      <c r="C11" t="str">
        <f>'2 stopień 20_21'!C318</f>
        <v>Branżowa szkoła I Stopnia w Dzierżoniowie</v>
      </c>
      <c r="D11" t="str">
        <f>'2 stopień 20_21'!D318</f>
        <v>Dzierżoniów</v>
      </c>
      <c r="E11" s="168" t="s">
        <v>1199</v>
      </c>
      <c r="F11" s="168"/>
      <c r="G11" s="168" t="s">
        <v>1198</v>
      </c>
      <c r="H11" s="168">
        <v>748315260</v>
      </c>
    </row>
    <row r="12" spans="2:9" hidden="1">
      <c r="B12" s="166" t="s">
        <v>15</v>
      </c>
      <c r="C12" t="str">
        <f>'2 stopień 20_21'!C345</f>
        <v>Branżowa szkoła I Stopnia nr 1 w ZSTiO w Głogowie</v>
      </c>
      <c r="D12" t="str">
        <f>'2 stopień 20_21'!D345</f>
        <v>Głogów</v>
      </c>
      <c r="E12" t="s">
        <v>1201</v>
      </c>
      <c r="G12" t="s">
        <v>1200</v>
      </c>
      <c r="H12">
        <v>768339634</v>
      </c>
    </row>
    <row r="13" spans="2:9" hidden="1">
      <c r="B13" s="166" t="s">
        <v>16</v>
      </c>
      <c r="C13" t="str">
        <f>'2 stopień 20_21'!C60</f>
        <v>Branżowa szkoła I Stopnia w Zespole Szkół im. gen. Sylwestra Kaliskiego w Górze</v>
      </c>
      <c r="D13" t="str">
        <f>'2 stopień 20_21'!D60</f>
        <v>Góra</v>
      </c>
      <c r="E13" s="170" t="s">
        <v>1290</v>
      </c>
      <c r="F13" t="s">
        <v>1291</v>
      </c>
      <c r="G13" t="s">
        <v>1202</v>
      </c>
      <c r="H13">
        <v>655432660</v>
      </c>
    </row>
    <row r="14" spans="2:9" hidden="1">
      <c r="B14" s="166" t="s">
        <v>17</v>
      </c>
      <c r="C14" t="str">
        <f>'2 stopień 20_21'!C147</f>
        <v>BS I S w Zespole Szkół Ogólnokształcących i Zawodowych im. Jana Pawła II w Gryfowie Ślaskim</v>
      </c>
      <c r="D14" t="str">
        <f>'2 stopień 20_21'!D147</f>
        <v>Gryfów Śląski</v>
      </c>
      <c r="E14" t="s">
        <v>1204</v>
      </c>
      <c r="G14" t="s">
        <v>1203</v>
      </c>
      <c r="H14" s="169">
        <v>7578134547</v>
      </c>
      <c r="I14">
        <v>57813000</v>
      </c>
    </row>
    <row r="15" spans="2:9" hidden="1">
      <c r="B15" s="166" t="s">
        <v>18</v>
      </c>
      <c r="C15" t="str">
        <f>'2 stopień 20_21'!C243</f>
        <v>Branżowa szkoła I Stopnia w Powiatowym Centrum Kształcenia Zawodowego i Ustawicznego im. KEN w Jaworze</v>
      </c>
      <c r="D15" t="str">
        <f>'2 stopień 20_21'!D243</f>
        <v>Jawor</v>
      </c>
      <c r="E15" t="s">
        <v>1206</v>
      </c>
      <c r="G15" t="s">
        <v>1205</v>
      </c>
      <c r="H15">
        <v>768703088</v>
      </c>
    </row>
    <row r="16" spans="2:9" hidden="1">
      <c r="B16" s="166" t="s">
        <v>19</v>
      </c>
      <c r="C16" t="str">
        <f>'2 stopień 20_21'!C446</f>
        <v>Branżowa szkoła I Stopnia w Jelczu-Laskowicach w Zespole Szkół im. Jana Kasprowicza w Jeczu Laskowicach</v>
      </c>
      <c r="D16" t="str">
        <f>'2 stopień 20_21'!D446</f>
        <v>Jelcz_Laskowice</v>
      </c>
      <c r="E16" t="s">
        <v>1208</v>
      </c>
      <c r="G16" t="s">
        <v>1207</v>
      </c>
      <c r="H16">
        <v>713188220</v>
      </c>
    </row>
    <row r="17" spans="2:9" hidden="1">
      <c r="B17" s="166" t="s">
        <v>20</v>
      </c>
      <c r="C17" t="str">
        <f>'2 stopień 20_21'!C327</f>
        <v xml:space="preserve">Branżowa szkoła I Stopnia w Zespole Szkół Technicznych "Mechanik" </v>
      </c>
      <c r="D17" t="str">
        <f>'2 stopień 20_21'!D327</f>
        <v>Jelenia Góra</v>
      </c>
      <c r="E17" t="s">
        <v>1212</v>
      </c>
      <c r="G17" t="s">
        <v>1211</v>
      </c>
      <c r="H17">
        <v>757525031</v>
      </c>
    </row>
    <row r="18" spans="2:9" hidden="1">
      <c r="B18" s="166" t="s">
        <v>21</v>
      </c>
      <c r="C18" t="str">
        <f>'3 stopień 20_21'!C172</f>
        <v>Branżowa Szkoła I Stopnia w Zespole Szkół Licealnych i Zawodowych nr 2</v>
      </c>
      <c r="D18" t="str">
        <f>'3 stopień 20_21'!D172</f>
        <v>Jelenia Góra</v>
      </c>
      <c r="E18" t="s">
        <v>1210</v>
      </c>
      <c r="G18" t="s">
        <v>1209</v>
      </c>
      <c r="H18">
        <v>756423900</v>
      </c>
    </row>
    <row r="19" spans="2:9" hidden="1">
      <c r="B19" s="166" t="s">
        <v>22</v>
      </c>
      <c r="C19" t="str">
        <f>'2 stopień 20_21'!C27</f>
        <v>Zespół Szkół Zawodowych i Ogólnokształcących w Kamiennej Górze</v>
      </c>
      <c r="D19" t="str">
        <f>'2 stopień 20_21'!D27</f>
        <v>Kamienna Góra</v>
      </c>
      <c r="E19" t="s">
        <v>1214</v>
      </c>
      <c r="G19" t="s">
        <v>1213</v>
      </c>
      <c r="H19">
        <v>756450200</v>
      </c>
    </row>
    <row r="20" spans="2:9" hidden="1">
      <c r="B20" s="166" t="s">
        <v>23</v>
      </c>
      <c r="C20" t="str">
        <f>'2 stopień 20_21'!C353</f>
        <v>Branżowa Szkoła I Stopnia w KSP w Kłodzku</v>
      </c>
      <c r="D20" t="str">
        <f>'2 stopień 20_21'!D353</f>
        <v>Kłodzko</v>
      </c>
      <c r="E20" t="s">
        <v>1216</v>
      </c>
      <c r="G20" t="s">
        <v>1215</v>
      </c>
      <c r="H20">
        <v>748672174</v>
      </c>
    </row>
    <row r="21" spans="2:9" hidden="1">
      <c r="B21" s="166" t="s">
        <v>24</v>
      </c>
      <c r="C21" t="str">
        <f>'2 stopień 20_21'!C501</f>
        <v>BRANŻOWA SZKOŁA I STOPNIA -ZSO KOWARY</v>
      </c>
      <c r="D21" t="str">
        <f>'2 stopień 20_21'!D501</f>
        <v>Kowary</v>
      </c>
      <c r="E21" t="s">
        <v>1218</v>
      </c>
      <c r="G21" t="s">
        <v>1217</v>
      </c>
      <c r="H21">
        <v>757182111</v>
      </c>
    </row>
    <row r="22" spans="2:9" hidden="1">
      <c r="B22" s="166" t="s">
        <v>92</v>
      </c>
      <c r="C22" t="str">
        <f>'2 stopień 20_21'!C12</f>
        <v xml:space="preserve">Branżowa Szkoła I Stopnia w POWIATOWYM ZESPOLE SZKÓŁ NR 1 W KRZYŻOWICACH </v>
      </c>
      <c r="D22" t="str">
        <f>'2 stopień 20_21'!D12</f>
        <v>Krzyżowice</v>
      </c>
      <c r="E22" s="170" t="s">
        <v>1292</v>
      </c>
      <c r="F22" t="s">
        <v>1293</v>
      </c>
      <c r="G22" t="s">
        <v>1219</v>
      </c>
      <c r="H22">
        <v>713118479</v>
      </c>
    </row>
    <row r="23" spans="2:9" hidden="1">
      <c r="B23" s="166" t="s">
        <v>93</v>
      </c>
      <c r="C23" t="str">
        <f>'2 stopień 20_21'!C310</f>
        <v>Branżowa szkoła I Stopnia w Kudowie-Zdoju</v>
      </c>
      <c r="D23" t="str">
        <f>'2 stopień 20_21'!D310</f>
        <v>Kudowa_Zdrój</v>
      </c>
      <c r="E23" s="170" t="s">
        <v>1302</v>
      </c>
      <c r="G23" t="s">
        <v>1303</v>
      </c>
      <c r="H23">
        <v>748661700</v>
      </c>
    </row>
    <row r="24" spans="2:9" hidden="1">
      <c r="B24" s="166" t="s">
        <v>94</v>
      </c>
      <c r="C24" t="str">
        <f>'2 stopień 20_21'!C522</f>
        <v xml:space="preserve">Branżowa Szkoła I Stopnia Nr 3 w Centrum Kształcenia Zawodowego i Ustawicznego </v>
      </c>
      <c r="D24" t="str">
        <f>'2 stopień 20_21'!D522</f>
        <v>Legnica</v>
      </c>
      <c r="E24" t="s">
        <v>1221</v>
      </c>
      <c r="G24" t="s">
        <v>1220</v>
      </c>
      <c r="H24">
        <v>767233746</v>
      </c>
    </row>
    <row r="25" spans="2:9" hidden="1">
      <c r="B25" s="166" t="s">
        <v>95</v>
      </c>
      <c r="C25" t="str">
        <f>'2 stopień 20_21'!C333</f>
        <v>Branżowa Szkoła I Stopnia w Zespole Szkół Zawodowych i Ogólnokształcących im. KZL</v>
      </c>
      <c r="D25" t="str">
        <f>'2 stopień 20_21'!D333</f>
        <v>Lubań</v>
      </c>
      <c r="E25" t="s">
        <v>1223</v>
      </c>
      <c r="G25" t="s">
        <v>1222</v>
      </c>
      <c r="H25">
        <v>757222530</v>
      </c>
    </row>
    <row r="26" spans="2:9" hidden="1">
      <c r="B26" s="166" t="s">
        <v>96</v>
      </c>
      <c r="C26" t="str">
        <f>'2 stopień 20_21'!C253</f>
        <v>Branżowa Szkoła I Stopnia w Zespole Szkół Nr 1 w Lubinie</v>
      </c>
      <c r="D26" t="str">
        <f>'2 stopień 20_21'!D253</f>
        <v>Lubin</v>
      </c>
      <c r="E26" s="170" t="s">
        <v>1300</v>
      </c>
      <c r="F26" s="170" t="s">
        <v>1306</v>
      </c>
      <c r="G26" t="s">
        <v>1301</v>
      </c>
      <c r="H26">
        <v>767463050</v>
      </c>
    </row>
    <row r="27" spans="2:9" hidden="1">
      <c r="B27" s="166" t="s">
        <v>97</v>
      </c>
      <c r="C27" t="str">
        <f>'2 stopień 20_21'!C40</f>
        <v>Branżowa szkoła I Stopnia w Lubomierzu</v>
      </c>
      <c r="D27" t="str">
        <f>'2 stopień 20_21'!D40</f>
        <v>Lubomierz</v>
      </c>
      <c r="E27" t="s">
        <v>1225</v>
      </c>
      <c r="G27" t="s">
        <v>1224</v>
      </c>
      <c r="H27">
        <v>757833634</v>
      </c>
    </row>
    <row r="28" spans="2:9" hidden="1">
      <c r="B28" s="166" t="s">
        <v>98</v>
      </c>
      <c r="C28" t="str">
        <f>'2 stopień 20_21'!C477</f>
        <v>Branżowa szkoła I Stopnia w Międzyborzu</v>
      </c>
      <c r="D28" t="str">
        <f>'2 stopień 20_21'!D477</f>
        <v>Międzybórz</v>
      </c>
      <c r="E28" t="s">
        <v>1227</v>
      </c>
      <c r="G28" t="s">
        <v>1226</v>
      </c>
      <c r="H28" s="169">
        <v>627856375</v>
      </c>
      <c r="I28">
        <v>500231000</v>
      </c>
    </row>
    <row r="29" spans="2:9" hidden="1">
      <c r="B29" s="166" t="s">
        <v>99</v>
      </c>
      <c r="C29" t="str">
        <f>'2 stopień 20_21'!C96</f>
        <v>Branżowa Szkoła I Stopnia im. Stanisława Staszica w Nowej Rudzie</v>
      </c>
      <c r="D29" t="str">
        <f>'2 stopień 20_21'!D96</f>
        <v>Nowa Ruda</v>
      </c>
      <c r="E29" t="s">
        <v>1229</v>
      </c>
      <c r="G29" t="s">
        <v>1228</v>
      </c>
      <c r="H29">
        <v>748722242</v>
      </c>
    </row>
    <row r="30" spans="2:9" hidden="1">
      <c r="B30" s="166" t="s">
        <v>100</v>
      </c>
      <c r="C30" t="str">
        <f>'3 stopień 20_21'!C252</f>
        <v>Branżowa Szkoła I stopnia nr 1 w Zespole Szkół Zawodowych im. Marii Skłodowskiej - Curie w Oleśnicy</v>
      </c>
      <c r="D30" t="str">
        <f>'3 stopień 20_21'!D252</f>
        <v>Oleśnica</v>
      </c>
      <c r="E30" t="s">
        <v>1231</v>
      </c>
      <c r="G30" t="s">
        <v>1230</v>
      </c>
      <c r="H30">
        <v>713143041</v>
      </c>
    </row>
    <row r="31" spans="2:9" hidden="1">
      <c r="B31" s="166" t="s">
        <v>118</v>
      </c>
      <c r="C31" t="str">
        <f>'2 stopień 20_21'!C75</f>
        <v>Branżowa Szkoła I Stopnia Nr2 w Oławie</v>
      </c>
      <c r="D31" t="str">
        <f>'2 stopień 20_21'!D75</f>
        <v>Oława</v>
      </c>
      <c r="E31" t="s">
        <v>1235</v>
      </c>
      <c r="G31" t="s">
        <v>1234</v>
      </c>
      <c r="H31">
        <v>713132636</v>
      </c>
    </row>
    <row r="32" spans="2:9" hidden="1">
      <c r="B32" s="166" t="s">
        <v>119</v>
      </c>
      <c r="C32" t="str">
        <f>'2 stopień 20_21'!C287</f>
        <v>Branżowa Szkoła I Stopnia Nr 1 w Centrum Kształcenia Zawodowego i Ustawicznego w Oławie</v>
      </c>
      <c r="D32" t="str">
        <f>'2 stopień 20_21'!D287</f>
        <v>Oława</v>
      </c>
      <c r="E32" t="s">
        <v>1233</v>
      </c>
      <c r="G32" t="s">
        <v>1232</v>
      </c>
      <c r="H32">
        <v>713132711</v>
      </c>
    </row>
    <row r="33" spans="2:8" hidden="1">
      <c r="B33" s="166" t="s">
        <v>120</v>
      </c>
      <c r="C33" t="str">
        <f>'2 stopień 20_21'!C514</f>
        <v xml:space="preserve">Branżowa Szkoła I stopnia Specjalna  nr 3 w Oławie, Zespół Szkół Specjalnych im.l Ireny Komorowskiej w Oławie </v>
      </c>
      <c r="D33" t="str">
        <f>'2 stopień 20_21'!D514</f>
        <v>Oława</v>
      </c>
      <c r="E33" t="s">
        <v>1237</v>
      </c>
      <c r="G33" t="s">
        <v>1236</v>
      </c>
      <c r="H33">
        <v>717345910</v>
      </c>
    </row>
    <row r="34" spans="2:8" hidden="1">
      <c r="B34" s="166" t="s">
        <v>121</v>
      </c>
      <c r="C34" t="str">
        <f>'3 stopień 20_21'!C340</f>
        <v>Zespół Szkół w Otmuchowie</v>
      </c>
      <c r="D34" t="str">
        <f>'3 stopień 20_21'!D340</f>
        <v>Otmuchów</v>
      </c>
      <c r="E34" s="170" t="s">
        <v>1305</v>
      </c>
    </row>
    <row r="35" spans="2:8" hidden="1">
      <c r="B35" s="166" t="s">
        <v>122</v>
      </c>
      <c r="C35" t="str">
        <f>'2 stopień 20_21'!C89</f>
        <v>Branżowa  Szkoła I Stopnia w Paczkowie</v>
      </c>
      <c r="D35" t="str">
        <f>'2 stopień 20_21'!D89</f>
        <v>Paczków</v>
      </c>
      <c r="E35" s="170" t="s">
        <v>1304</v>
      </c>
    </row>
    <row r="36" spans="2:8" hidden="1">
      <c r="B36" s="166" t="s">
        <v>123</v>
      </c>
      <c r="C36" t="str">
        <f>'2 stopień 20_21'!C160</f>
        <v>Branżowa szkoła I Stopnia w Zespole Szkół im. Narodów Zjednoczonej Europy w Polkowicach</v>
      </c>
      <c r="D36" t="str">
        <f>'2 stopień 20_21'!D160</f>
        <v>Polkowice</v>
      </c>
      <c r="E36" t="s">
        <v>1239</v>
      </c>
      <c r="G36" t="s">
        <v>1238</v>
      </c>
      <c r="H36">
        <v>767465111</v>
      </c>
    </row>
    <row r="37" spans="2:8" hidden="1">
      <c r="B37" s="166" t="s">
        <v>124</v>
      </c>
      <c r="C37" t="str">
        <f>'2 stopień 20_21'!C465</f>
        <v>Zespół Szkół im. Ireny Sendler w Przemkowie Branżowa Szkoła I Stopnia</v>
      </c>
      <c r="D37" t="str">
        <f>'2 stopień 20_21'!D465</f>
        <v>Przemków</v>
      </c>
      <c r="E37" t="s">
        <v>1241</v>
      </c>
      <c r="G37" t="s">
        <v>1240</v>
      </c>
      <c r="H37">
        <v>768320666</v>
      </c>
    </row>
    <row r="38" spans="2:8" hidden="1">
      <c r="B38" s="166" t="s">
        <v>125</v>
      </c>
      <c r="C38" t="str">
        <f>'2 stopień 20_21'!C222</f>
        <v>Branżowa szkoła I Stopnia w Rakowicach Wielkich</v>
      </c>
      <c r="D38" t="str">
        <f>'2 stopień 20_21'!D222</f>
        <v>Rakowice Wielkie</v>
      </c>
      <c r="E38" t="s">
        <v>1243</v>
      </c>
      <c r="G38" t="s">
        <v>1242</v>
      </c>
      <c r="H38">
        <v>757824495</v>
      </c>
    </row>
    <row r="39" spans="2:8" hidden="1">
      <c r="B39" s="166" t="s">
        <v>126</v>
      </c>
      <c r="C39" t="str">
        <f>'2 stopień 20_21'!C382</f>
        <v>Zespół Szkół w Strzegomiu</v>
      </c>
      <c r="D39" t="str">
        <f>'2 stopień 20_21'!D382</f>
        <v>Strzegom</v>
      </c>
      <c r="E39" t="s">
        <v>1245</v>
      </c>
      <c r="G39" t="s">
        <v>1244</v>
      </c>
      <c r="H39">
        <v>746494870</v>
      </c>
    </row>
    <row r="40" spans="2:8" hidden="1">
      <c r="B40" s="166" t="s">
        <v>127</v>
      </c>
      <c r="C40" t="str">
        <f>'2 stopień 20_21'!C52</f>
        <v>Branżowa Szkoła I Stopnia w Strzelinie</v>
      </c>
      <c r="D40" t="str">
        <f>'2 stopień 20_21'!D52</f>
        <v>Strzelin</v>
      </c>
      <c r="E40" t="s">
        <v>1247</v>
      </c>
      <c r="G40" t="s">
        <v>1246</v>
      </c>
      <c r="H40">
        <v>713920008</v>
      </c>
    </row>
    <row r="41" spans="2:8" hidden="1">
      <c r="B41" s="166" t="s">
        <v>128</v>
      </c>
      <c r="C41" t="str">
        <f>'3 stopień 20_21'!C87</f>
        <v>ZSP Syców</v>
      </c>
      <c r="D41" t="str">
        <f>'3 stopień 20_21'!D87</f>
        <v>Syców</v>
      </c>
      <c r="E41" t="s">
        <v>1249</v>
      </c>
      <c r="G41" t="s">
        <v>1248</v>
      </c>
      <c r="H41">
        <v>627869340</v>
      </c>
    </row>
    <row r="42" spans="2:8" hidden="1">
      <c r="B42" s="166" t="s">
        <v>129</v>
      </c>
      <c r="C42" t="str">
        <f>'3 stopień 20_21'!C55</f>
        <v xml:space="preserve">Branżowa szkoła I Stopnia Nr 1  w Powiatowym Zespole Szkół nr 1 </v>
      </c>
      <c r="D42" t="str">
        <f>'3 stopień 20_21'!D55</f>
        <v>Środa Śląska</v>
      </c>
      <c r="E42" s="170" t="s">
        <v>1298</v>
      </c>
      <c r="F42" t="s">
        <v>1299</v>
      </c>
      <c r="G42" t="s">
        <v>1250</v>
      </c>
      <c r="H42">
        <v>713173239</v>
      </c>
    </row>
    <row r="43" spans="2:8" hidden="1">
      <c r="B43" s="166" t="s">
        <v>130</v>
      </c>
      <c r="C43" t="str">
        <f>'2 stopień 20_21'!C208</f>
        <v>Branżowa Szkoła I Stopnia w Świdnicy</v>
      </c>
      <c r="D43" t="str">
        <f>'2 stopień 20_21'!D208</f>
        <v>Świdnica</v>
      </c>
      <c r="E43" t="s">
        <v>1252</v>
      </c>
      <c r="G43" t="s">
        <v>1251</v>
      </c>
      <c r="H43">
        <v>748520700</v>
      </c>
    </row>
    <row r="44" spans="2:8" hidden="1">
      <c r="B44" s="166" t="s">
        <v>131</v>
      </c>
      <c r="C44" t="str">
        <f>'2 stopień 20_21'!C489</f>
        <v>Branżowa Szkoła I Stopnia w Świdnicy - Rzemieślnik</v>
      </c>
      <c r="D44" t="str">
        <f>'2 stopień 20_21'!D489</f>
        <v>Świdnica</v>
      </c>
      <c r="E44" t="s">
        <v>1254</v>
      </c>
      <c r="G44" t="s">
        <v>1253</v>
      </c>
      <c r="H44">
        <v>748530312</v>
      </c>
    </row>
    <row r="45" spans="2:8" hidden="1">
      <c r="B45" s="166" t="s">
        <v>132</v>
      </c>
      <c r="C45" t="s">
        <v>1255</v>
      </c>
      <c r="D45" t="s">
        <v>1256</v>
      </c>
      <c r="E45" t="s">
        <v>1258</v>
      </c>
      <c r="G45" t="s">
        <v>1257</v>
      </c>
      <c r="H45">
        <v>746669905</v>
      </c>
    </row>
    <row r="46" spans="2:8" hidden="1">
      <c r="B46" s="166" t="s">
        <v>133</v>
      </c>
      <c r="C46" t="str">
        <f>'2 stopień 20_21'!C48</f>
        <v>Branżowa Szkoła I Stopnia w Powiatowym Zespole Specjalnych Placówek Szkolno-Wychowawczych w Trzebnicy</v>
      </c>
      <c r="D46" t="str">
        <f>'2 stopień 20_21'!D48</f>
        <v>Trzebnica</v>
      </c>
      <c r="E46" s="170" t="s">
        <v>1262</v>
      </c>
      <c r="G46" t="s">
        <v>1261</v>
      </c>
      <c r="H46">
        <v>713120740</v>
      </c>
    </row>
    <row r="47" spans="2:8" hidden="1">
      <c r="B47" s="166" t="s">
        <v>134</v>
      </c>
      <c r="C47" t="str">
        <f>'2 stopień 20_21'!C181</f>
        <v>PZS Nr 2 Trzebnica</v>
      </c>
      <c r="D47" t="str">
        <f>'2 stopień 20_21'!D181</f>
        <v>Trzebnica</v>
      </c>
      <c r="E47" t="s">
        <v>1260</v>
      </c>
      <c r="G47" t="s">
        <v>1259</v>
      </c>
      <c r="H47">
        <v>713120488</v>
      </c>
    </row>
    <row r="48" spans="2:8" hidden="1">
      <c r="B48" s="166" t="s">
        <v>135</v>
      </c>
      <c r="C48" t="str">
        <f>'2 stopień 20_21'!C122</f>
        <v>Branżowa szkoła I Stopnia w Twardogórze</v>
      </c>
      <c r="D48" t="str">
        <f>'2 stopień 20_21'!D122</f>
        <v>Twardogóra</v>
      </c>
      <c r="E48" t="s">
        <v>1264</v>
      </c>
      <c r="G48" t="s">
        <v>1263</v>
      </c>
      <c r="H48">
        <v>713158014</v>
      </c>
    </row>
    <row r="49" spans="2:8" hidden="1">
      <c r="B49" s="166" t="s">
        <v>136</v>
      </c>
      <c r="C49" t="str">
        <f>'3 stopień 20_21'!C347</f>
        <v>Rzemieślnicza Branżowa szkoła I Stopnia im. Stanisława Palucha w Wałbrzychu</v>
      </c>
      <c r="D49" t="str">
        <f>'3 stopień 20_21'!D347</f>
        <v>Wałbrzych</v>
      </c>
      <c r="E49" t="s">
        <v>1266</v>
      </c>
      <c r="G49" t="s">
        <v>1265</v>
      </c>
      <c r="H49">
        <v>748473886</v>
      </c>
    </row>
    <row r="50" spans="2:8" hidden="1">
      <c r="B50" s="166" t="s">
        <v>145</v>
      </c>
      <c r="C50" t="str">
        <f>'3 stopień 20_21'!C112</f>
        <v xml:space="preserve">Branżowa Szkoła I Stopnia w  Zespole Szkół Zawodowych w Wołowie </v>
      </c>
      <c r="D50" t="str">
        <f>'3 stopień 20_21'!D112</f>
        <v>Wołów</v>
      </c>
      <c r="E50" s="170" t="s">
        <v>1296</v>
      </c>
      <c r="F50" t="s">
        <v>1297</v>
      </c>
      <c r="G50" t="s">
        <v>1267</v>
      </c>
      <c r="H50">
        <v>713892824</v>
      </c>
    </row>
    <row r="51" spans="2:8" hidden="1">
      <c r="B51" s="166" t="s">
        <v>146</v>
      </c>
      <c r="C51" t="str">
        <f>'2 stopień 20_21'!C16</f>
        <v>Branżowa Szkoła I stopnia nr 5 im. Jana Kilińskiego</v>
      </c>
      <c r="D51" t="str">
        <f>'2 stopień 20_21'!D16</f>
        <v>Wrocław</v>
      </c>
      <c r="E51" t="s">
        <v>1269</v>
      </c>
      <c r="G51" t="s">
        <v>1268</v>
      </c>
      <c r="H51">
        <v>717986934</v>
      </c>
    </row>
    <row r="52" spans="2:8" hidden="1">
      <c r="B52" s="166" t="s">
        <v>147</v>
      </c>
      <c r="C52" t="str">
        <f>'2 stopień 20_21'!C90</f>
        <v xml:space="preserve">Branżowa Szkoła I stopnia w Zespole Szkół Zawodowych im. Stanisława Staszica </v>
      </c>
      <c r="D52" t="str">
        <f>'2 stopień 20_21'!D90</f>
        <v>Ząbkowice Śląskie</v>
      </c>
      <c r="E52" s="170" t="s">
        <v>1294</v>
      </c>
      <c r="F52" t="s">
        <v>1295</v>
      </c>
      <c r="G52" t="s">
        <v>1270</v>
      </c>
      <c r="H52">
        <v>748152329</v>
      </c>
    </row>
    <row r="53" spans="2:8" hidden="1">
      <c r="B53" s="166" t="s">
        <v>148</v>
      </c>
      <c r="C53" t="str">
        <f>'2 stopień 20_21'!C392</f>
        <v>Branżowa Szkoła I stopnia Cechu Rzemiosł Różnych i Małej Przedsiębiorczości w Ząbkowicach Śląskich</v>
      </c>
      <c r="D53" t="str">
        <f>'2 stopień 20_21'!D392</f>
        <v>Ząbkowice Śląskie</v>
      </c>
      <c r="E53" t="s">
        <v>1272</v>
      </c>
      <c r="G53" t="s">
        <v>1271</v>
      </c>
      <c r="H53">
        <v>748100862</v>
      </c>
    </row>
    <row r="54" spans="2:8" hidden="1">
      <c r="B54" s="166" t="s">
        <v>149</v>
      </c>
      <c r="C54" t="str">
        <f>'2 stopień 20_21'!C268</f>
        <v>Branżowa szkoła I Stopnia w Zgorzelcu</v>
      </c>
      <c r="D54" t="str">
        <f>'2 stopień 20_21'!D268</f>
        <v>Zgorzelec</v>
      </c>
      <c r="E54" t="s">
        <v>1274</v>
      </c>
      <c r="G54" t="s">
        <v>1273</v>
      </c>
      <c r="H54">
        <v>757752393</v>
      </c>
    </row>
    <row r="55" spans="2:8" hidden="1">
      <c r="B55" s="166" t="s">
        <v>150</v>
      </c>
      <c r="C55" t="str">
        <f>'3 stopień 20_21'!C9</f>
        <v>Branżowa szkoła I Stopnia w Zespole Szkół Ponadgimnazjalnych im. H.Cegielskiego w Ziębicach</v>
      </c>
      <c r="D55" t="str">
        <f>'3 stopień 20_21'!D9</f>
        <v>Ziębice</v>
      </c>
      <c r="E55" t="s">
        <v>1276</v>
      </c>
      <c r="G55" t="s">
        <v>1275</v>
      </c>
      <c r="H55">
        <v>748191522</v>
      </c>
    </row>
    <row r="56" spans="2:8" hidden="1">
      <c r="B56" s="166" t="s">
        <v>151</v>
      </c>
      <c r="C56" t="str">
        <f>'2 stopień 20_21'!C547</f>
        <v>Branzowa Szkoła I Stopnia w Zespole Szkół Zawodowych</v>
      </c>
      <c r="D56" t="str">
        <f>'2 stopień 20_21'!D547</f>
        <v>Złotoryja</v>
      </c>
      <c r="E56" t="s">
        <v>1280</v>
      </c>
      <c r="G56" t="s">
        <v>1279</v>
      </c>
      <c r="H56">
        <v>768783647</v>
      </c>
    </row>
    <row r="57" spans="2:8" hidden="1">
      <c r="B57" s="166" t="s">
        <v>152</v>
      </c>
      <c r="C57" t="str">
        <f>'2 stopień 20_21'!C564</f>
        <v xml:space="preserve">Branżowa Szkoła I Stopnia w Ośrodku Szkolno-Wychowawczym </v>
      </c>
      <c r="D57" t="str">
        <f>'2 stopień 20_21'!D564</f>
        <v>Złotoryja</v>
      </c>
      <c r="E57" t="s">
        <v>1278</v>
      </c>
      <c r="G57" t="s">
        <v>1277</v>
      </c>
      <c r="H57">
        <v>768783372</v>
      </c>
    </row>
    <row r="58" spans="2:8" hidden="1">
      <c r="B58" s="166" t="s">
        <v>153</v>
      </c>
      <c r="C58" t="str">
        <f>'3 stopień 20_21'!C202</f>
        <v>Branżowa Szkoła I Stopnia w Żarowie</v>
      </c>
      <c r="D58" t="str">
        <f>'3 stopień 20_21'!D202</f>
        <v>Żarów</v>
      </c>
      <c r="E58" t="s">
        <v>1282</v>
      </c>
      <c r="G58" t="s">
        <v>1281</v>
      </c>
      <c r="H58">
        <v>748580403</v>
      </c>
    </row>
    <row r="59" spans="2:8" hidden="1">
      <c r="B59" s="166" t="s">
        <v>154</v>
      </c>
      <c r="C59" t="str">
        <f>'3 stopień 20_21'!C161</f>
        <v>Zespół Szkół Specjalnych w Żmigrodzie</v>
      </c>
      <c r="D59" t="str">
        <f>'3 stopień 20_21'!D161</f>
        <v>Żmigród</v>
      </c>
      <c r="E59" t="s">
        <v>1284</v>
      </c>
      <c r="G59" t="s">
        <v>1283</v>
      </c>
      <c r="H59">
        <v>713853666</v>
      </c>
    </row>
  </sheetData>
  <sheetProtection algorithmName="SHA-512" hashValue="FYhNAVUmvR+EkwBFIPu/D8vILzztXi1F2zE4VbgMABCjanIVsGDgE/nD6H/RaNBf5ifoY7AolB//Zh4pFa8WeQ==" saltValue="/iIHfxM8VgBF1wziLSEGOQ==" spinCount="100000" sheet="1" objects="1" scenarios="1"/>
  <autoFilter ref="B1:I59"/>
  <sortState ref="C2:F113">
    <sortCondition ref="D3"/>
  </sortState>
  <hyperlinks>
    <hyperlink ref="E3" r:id="rId1"/>
    <hyperlink ref="E2" r:id="rId2"/>
    <hyperlink ref="E4" r:id="rId3"/>
    <hyperlink ref="E13" r:id="rId4"/>
    <hyperlink ref="E22" r:id="rId5"/>
    <hyperlink ref="E46" r:id="rId6"/>
    <hyperlink ref="E52" r:id="rId7"/>
    <hyperlink ref="E50" r:id="rId8"/>
    <hyperlink ref="E42" r:id="rId9"/>
    <hyperlink ref="E26" r:id="rId10"/>
    <hyperlink ref="E23" r:id="rId11" display="mailto:zsp-kudowa@tlen.pl"/>
    <hyperlink ref="E35" r:id="rId12"/>
    <hyperlink ref="E34" r:id="rId13"/>
    <hyperlink ref="F26" r:id="rId14"/>
  </hyperlinks>
  <pageMargins left="0.7" right="0.7" top="0.75" bottom="0.75" header="0.3" footer="0.3"/>
  <pageSetup paperSize="9" orientation="portrait" horizontalDpi="0" verticalDpi="0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3" sqref="A3:XFD65"/>
    </sheetView>
  </sheetViews>
  <sheetFormatPr defaultRowHeight="15"/>
  <cols>
    <col min="1" max="1" width="117.42578125" bestFit="1" customWidth="1"/>
    <col min="2" max="2" width="15.42578125" customWidth="1"/>
    <col min="3" max="3" width="18.85546875" bestFit="1" customWidth="1"/>
    <col min="4" max="4" width="30.85546875" bestFit="1" customWidth="1"/>
    <col min="8" max="8" width="17.28515625" bestFit="1" customWidth="1"/>
    <col min="9" max="9" width="11" bestFit="1" customWidth="1"/>
    <col min="10" max="10" width="34.42578125" bestFit="1" customWidth="1"/>
  </cols>
  <sheetData>
    <row r="1" spans="1:10">
      <c r="A1" s="254"/>
      <c r="B1" s="256"/>
      <c r="C1" s="254"/>
      <c r="D1" s="254"/>
      <c r="E1" s="254"/>
      <c r="F1" s="254"/>
      <c r="G1" s="254"/>
      <c r="H1" s="254"/>
      <c r="I1" s="254"/>
      <c r="J1" s="254"/>
    </row>
    <row r="2" spans="1:10">
      <c r="A2" s="254"/>
      <c r="B2" s="256"/>
      <c r="C2" s="254"/>
      <c r="D2" s="254"/>
      <c r="E2" s="254"/>
      <c r="F2" s="254"/>
      <c r="G2" s="254"/>
      <c r="H2" s="254"/>
      <c r="I2" s="254"/>
      <c r="J2" s="254"/>
    </row>
    <row r="3" spans="1:10" ht="45">
      <c r="A3" s="255" t="s">
        <v>1943</v>
      </c>
      <c r="B3" s="257" t="s">
        <v>1944</v>
      </c>
      <c r="C3" s="255" t="s">
        <v>48</v>
      </c>
      <c r="D3" s="255" t="s">
        <v>1945</v>
      </c>
      <c r="E3" s="255" t="s">
        <v>1946</v>
      </c>
      <c r="F3" s="255" t="s">
        <v>1947</v>
      </c>
      <c r="G3" s="255" t="s">
        <v>1948</v>
      </c>
      <c r="H3" s="255" t="s">
        <v>1949</v>
      </c>
      <c r="I3" s="255" t="s">
        <v>1950</v>
      </c>
      <c r="J3" s="255" t="s">
        <v>1951</v>
      </c>
    </row>
    <row r="4" spans="1:10" hidden="1">
      <c r="A4" s="258" t="s">
        <v>1952</v>
      </c>
      <c r="B4" s="259">
        <v>173</v>
      </c>
      <c r="C4" s="258" t="s">
        <v>528</v>
      </c>
      <c r="D4" s="260" t="s">
        <v>1953</v>
      </c>
      <c r="E4" s="260" t="s">
        <v>1954</v>
      </c>
      <c r="F4" s="260" t="s">
        <v>1955</v>
      </c>
      <c r="G4" s="260" t="s">
        <v>1956</v>
      </c>
      <c r="H4" s="260" t="s">
        <v>528</v>
      </c>
      <c r="I4" s="260" t="s">
        <v>1957</v>
      </c>
      <c r="J4" s="258" t="s">
        <v>1201</v>
      </c>
    </row>
    <row r="5" spans="1:10" hidden="1">
      <c r="A5" s="258" t="s">
        <v>1958</v>
      </c>
      <c r="B5" s="259">
        <v>49</v>
      </c>
      <c r="C5" s="258" t="s">
        <v>192</v>
      </c>
      <c r="D5" s="260" t="s">
        <v>1959</v>
      </c>
      <c r="E5" s="260" t="s">
        <v>1960</v>
      </c>
      <c r="F5" s="260" t="s">
        <v>1955</v>
      </c>
      <c r="G5" s="260" t="s">
        <v>1961</v>
      </c>
      <c r="H5" s="260" t="s">
        <v>192</v>
      </c>
      <c r="I5" s="260" t="s">
        <v>1962</v>
      </c>
      <c r="J5" s="258" t="s">
        <v>1287</v>
      </c>
    </row>
    <row r="6" spans="1:10" hidden="1">
      <c r="A6" s="258" t="s">
        <v>1963</v>
      </c>
      <c r="B6" s="259">
        <v>208</v>
      </c>
      <c r="C6" s="258" t="s">
        <v>935</v>
      </c>
      <c r="D6" s="260" t="s">
        <v>1964</v>
      </c>
      <c r="E6" s="260" t="s">
        <v>1965</v>
      </c>
      <c r="F6" s="260" t="s">
        <v>1955</v>
      </c>
      <c r="G6" s="260" t="s">
        <v>1966</v>
      </c>
      <c r="H6" s="260" t="s">
        <v>935</v>
      </c>
      <c r="I6" s="260" t="s">
        <v>1967</v>
      </c>
      <c r="J6" s="258" t="s">
        <v>1266</v>
      </c>
    </row>
    <row r="7" spans="1:10" hidden="1">
      <c r="A7" s="258" t="s">
        <v>1968</v>
      </c>
      <c r="B7" s="259">
        <v>90</v>
      </c>
      <c r="C7" s="258" t="s">
        <v>549</v>
      </c>
      <c r="D7" s="260" t="s">
        <v>1969</v>
      </c>
      <c r="E7" s="260" t="s">
        <v>1970</v>
      </c>
      <c r="F7" s="260" t="s">
        <v>1955</v>
      </c>
      <c r="G7" s="260" t="s">
        <v>1971</v>
      </c>
      <c r="H7" s="260" t="s">
        <v>549</v>
      </c>
      <c r="I7" s="260" t="s">
        <v>1972</v>
      </c>
      <c r="J7" s="258" t="s">
        <v>1191</v>
      </c>
    </row>
    <row r="8" spans="1:10" hidden="1">
      <c r="A8" s="258" t="s">
        <v>1973</v>
      </c>
      <c r="B8" s="259">
        <v>210</v>
      </c>
      <c r="C8" s="258" t="s">
        <v>256</v>
      </c>
      <c r="D8" s="260" t="s">
        <v>1974</v>
      </c>
      <c r="E8" s="260" t="s">
        <v>1975</v>
      </c>
      <c r="F8" s="260" t="s">
        <v>1955</v>
      </c>
      <c r="G8" s="260" t="s">
        <v>1976</v>
      </c>
      <c r="H8" s="260" t="s">
        <v>256</v>
      </c>
      <c r="I8" s="260" t="s">
        <v>1977</v>
      </c>
      <c r="J8" s="258" t="s">
        <v>1252</v>
      </c>
    </row>
    <row r="9" spans="1:10" hidden="1">
      <c r="A9" s="261" t="s">
        <v>1978</v>
      </c>
      <c r="B9" s="259">
        <v>24</v>
      </c>
      <c r="C9" s="258" t="s">
        <v>256</v>
      </c>
      <c r="D9" s="260" t="s">
        <v>1979</v>
      </c>
      <c r="E9" s="260" t="s">
        <v>1980</v>
      </c>
      <c r="F9" s="260" t="s">
        <v>1955</v>
      </c>
      <c r="G9" s="260" t="s">
        <v>1976</v>
      </c>
      <c r="H9" s="260" t="s">
        <v>256</v>
      </c>
      <c r="I9" s="260" t="s">
        <v>1981</v>
      </c>
      <c r="J9" s="258" t="s">
        <v>1955</v>
      </c>
    </row>
    <row r="10" spans="1:10" hidden="1">
      <c r="A10" s="258" t="s">
        <v>1982</v>
      </c>
      <c r="B10" s="259">
        <v>134</v>
      </c>
      <c r="C10" s="258" t="s">
        <v>535</v>
      </c>
      <c r="D10" s="260" t="s">
        <v>1983</v>
      </c>
      <c r="E10" s="260" t="s">
        <v>1984</v>
      </c>
      <c r="F10" s="260" t="s">
        <v>1955</v>
      </c>
      <c r="G10" s="260" t="s">
        <v>1985</v>
      </c>
      <c r="H10" s="260" t="s">
        <v>535</v>
      </c>
      <c r="I10" s="260" t="s">
        <v>1986</v>
      </c>
      <c r="J10" s="258" t="s">
        <v>1955</v>
      </c>
    </row>
    <row r="11" spans="1:10" hidden="1">
      <c r="A11" s="258" t="s">
        <v>1987</v>
      </c>
      <c r="B11" s="259">
        <v>27</v>
      </c>
      <c r="C11" s="258" t="s">
        <v>1988</v>
      </c>
      <c r="D11" s="260" t="s">
        <v>1989</v>
      </c>
      <c r="E11" s="260" t="s">
        <v>1990</v>
      </c>
      <c r="F11" s="260" t="s">
        <v>1955</v>
      </c>
      <c r="G11" s="260" t="s">
        <v>1991</v>
      </c>
      <c r="H11" s="260" t="s">
        <v>51</v>
      </c>
      <c r="I11" s="260" t="s">
        <v>1992</v>
      </c>
      <c r="J11" s="258" t="s">
        <v>1993</v>
      </c>
    </row>
    <row r="12" spans="1:10" hidden="1">
      <c r="A12" s="258" t="s">
        <v>1994</v>
      </c>
      <c r="B12" s="259">
        <v>163</v>
      </c>
      <c r="C12" s="258" t="s">
        <v>252</v>
      </c>
      <c r="D12" s="260" t="s">
        <v>1996</v>
      </c>
      <c r="E12" s="260" t="s">
        <v>1997</v>
      </c>
      <c r="F12" s="260" t="s">
        <v>1955</v>
      </c>
      <c r="G12" s="260" t="s">
        <v>1998</v>
      </c>
      <c r="H12" s="260" t="s">
        <v>252</v>
      </c>
      <c r="I12" s="260" t="s">
        <v>1999</v>
      </c>
      <c r="J12" s="258" t="s">
        <v>2000</v>
      </c>
    </row>
    <row r="13" spans="1:10" hidden="1">
      <c r="A13" s="258" t="s">
        <v>1995</v>
      </c>
      <c r="B13" s="259">
        <v>51</v>
      </c>
      <c r="C13" s="258" t="s">
        <v>285</v>
      </c>
      <c r="D13" s="260" t="s">
        <v>2001</v>
      </c>
      <c r="E13" s="260" t="s">
        <v>2002</v>
      </c>
      <c r="F13" s="260" t="s">
        <v>1955</v>
      </c>
      <c r="G13" s="260" t="s">
        <v>2003</v>
      </c>
      <c r="H13" s="260" t="s">
        <v>285</v>
      </c>
      <c r="I13" s="260" t="s">
        <v>2004</v>
      </c>
      <c r="J13" s="258" t="s">
        <v>1282</v>
      </c>
    </row>
    <row r="14" spans="1:10" hidden="1">
      <c r="A14" s="258" t="s">
        <v>2005</v>
      </c>
      <c r="B14" s="259">
        <v>81</v>
      </c>
      <c r="C14" s="258" t="s">
        <v>1256</v>
      </c>
      <c r="D14" s="260" t="s">
        <v>2006</v>
      </c>
      <c r="E14" s="260" t="s">
        <v>2007</v>
      </c>
      <c r="F14" s="260" t="s">
        <v>1955</v>
      </c>
      <c r="G14" s="260" t="s">
        <v>2008</v>
      </c>
      <c r="H14" s="260" t="s">
        <v>1256</v>
      </c>
      <c r="I14" s="260" t="s">
        <v>2009</v>
      </c>
      <c r="J14" s="258" t="s">
        <v>1955</v>
      </c>
    </row>
    <row r="15" spans="1:10" hidden="1">
      <c r="A15" s="258" t="s">
        <v>2010</v>
      </c>
      <c r="B15" s="259">
        <v>27</v>
      </c>
      <c r="C15" s="258" t="s">
        <v>174</v>
      </c>
      <c r="D15" s="260" t="s">
        <v>2011</v>
      </c>
      <c r="E15" s="260" t="s">
        <v>2012</v>
      </c>
      <c r="F15" s="260" t="s">
        <v>1955</v>
      </c>
      <c r="G15" s="260" t="s">
        <v>2013</v>
      </c>
      <c r="H15" s="260" t="s">
        <v>174</v>
      </c>
      <c r="I15" s="260" t="s">
        <v>2014</v>
      </c>
      <c r="J15" s="258" t="s">
        <v>1295</v>
      </c>
    </row>
    <row r="16" spans="1:10" hidden="1">
      <c r="A16" s="261" t="s">
        <v>2015</v>
      </c>
      <c r="B16" s="259">
        <v>31</v>
      </c>
      <c r="C16" s="258" t="s">
        <v>560</v>
      </c>
      <c r="D16" s="260" t="s">
        <v>2016</v>
      </c>
      <c r="E16" s="260" t="s">
        <v>2017</v>
      </c>
      <c r="F16" s="260" t="s">
        <v>1955</v>
      </c>
      <c r="G16" s="260" t="s">
        <v>2018</v>
      </c>
      <c r="H16" s="260" t="s">
        <v>560</v>
      </c>
      <c r="I16" s="260" t="s">
        <v>2019</v>
      </c>
      <c r="J16" s="258" t="s">
        <v>2020</v>
      </c>
    </row>
    <row r="17" spans="1:10" hidden="1">
      <c r="A17" s="258" t="s">
        <v>2021</v>
      </c>
      <c r="B17" s="259">
        <v>368</v>
      </c>
      <c r="C17" s="258" t="s">
        <v>73</v>
      </c>
      <c r="D17" s="260" t="s">
        <v>2022</v>
      </c>
      <c r="E17" s="260" t="s">
        <v>2023</v>
      </c>
      <c r="F17" s="260" t="s">
        <v>1955</v>
      </c>
      <c r="G17" s="260" t="s">
        <v>2024</v>
      </c>
      <c r="H17" s="260" t="s">
        <v>73</v>
      </c>
      <c r="I17" s="260" t="s">
        <v>2025</v>
      </c>
      <c r="J17" s="258" t="s">
        <v>2026</v>
      </c>
    </row>
    <row r="18" spans="1:10" hidden="1">
      <c r="A18" s="258" t="s">
        <v>2027</v>
      </c>
      <c r="B18" s="259">
        <v>5</v>
      </c>
      <c r="C18" s="258" t="s">
        <v>253</v>
      </c>
      <c r="D18" s="260" t="s">
        <v>2028</v>
      </c>
      <c r="E18" s="260" t="s">
        <v>1984</v>
      </c>
      <c r="F18" s="260" t="s">
        <v>1955</v>
      </c>
      <c r="G18" s="260" t="s">
        <v>2029</v>
      </c>
      <c r="H18" s="260" t="s">
        <v>253</v>
      </c>
      <c r="I18" s="260" t="s">
        <v>2030</v>
      </c>
      <c r="J18" s="258" t="s">
        <v>2031</v>
      </c>
    </row>
    <row r="19" spans="1:10" hidden="1">
      <c r="A19" s="258" t="s">
        <v>2032</v>
      </c>
      <c r="B19" s="259">
        <v>70</v>
      </c>
      <c r="C19" s="258" t="s">
        <v>256</v>
      </c>
      <c r="D19" s="260" t="s">
        <v>2033</v>
      </c>
      <c r="E19" s="260" t="s">
        <v>2034</v>
      </c>
      <c r="F19" s="260" t="s">
        <v>1955</v>
      </c>
      <c r="G19" s="260" t="s">
        <v>1976</v>
      </c>
      <c r="H19" s="260" t="s">
        <v>256</v>
      </c>
      <c r="I19" s="260" t="s">
        <v>2035</v>
      </c>
      <c r="J19" s="258" t="s">
        <v>1254</v>
      </c>
    </row>
    <row r="20" spans="1:10" hidden="1">
      <c r="A20" s="258" t="s">
        <v>2036</v>
      </c>
      <c r="B20" s="259">
        <v>198</v>
      </c>
      <c r="C20" s="258" t="s">
        <v>253</v>
      </c>
      <c r="D20" s="260" t="s">
        <v>2011</v>
      </c>
      <c r="E20" s="260" t="s">
        <v>2037</v>
      </c>
      <c r="F20" s="260" t="s">
        <v>1955</v>
      </c>
      <c r="G20" s="260" t="s">
        <v>2029</v>
      </c>
      <c r="H20" s="260" t="s">
        <v>253</v>
      </c>
      <c r="I20" s="260" t="s">
        <v>2038</v>
      </c>
      <c r="J20" s="258" t="s">
        <v>1206</v>
      </c>
    </row>
    <row r="21" spans="1:10" hidden="1">
      <c r="A21" s="258" t="s">
        <v>2039</v>
      </c>
      <c r="B21" s="259">
        <v>33</v>
      </c>
      <c r="C21" s="258" t="s">
        <v>143</v>
      </c>
      <c r="D21" s="260" t="s">
        <v>2011</v>
      </c>
      <c r="E21" s="260" t="s">
        <v>2040</v>
      </c>
      <c r="F21" s="260" t="s">
        <v>1955</v>
      </c>
      <c r="G21" s="260" t="s">
        <v>2041</v>
      </c>
      <c r="H21" s="260" t="s">
        <v>143</v>
      </c>
      <c r="I21" s="260" t="s">
        <v>2042</v>
      </c>
      <c r="J21" s="258" t="s">
        <v>1299</v>
      </c>
    </row>
    <row r="22" spans="1:10" hidden="1">
      <c r="A22" s="258" t="s">
        <v>2043</v>
      </c>
      <c r="B22" s="259">
        <v>64</v>
      </c>
      <c r="C22" s="258" t="s">
        <v>174</v>
      </c>
      <c r="D22" s="260" t="s">
        <v>2044</v>
      </c>
      <c r="E22" s="260" t="s">
        <v>2023</v>
      </c>
      <c r="F22" s="260" t="s">
        <v>1955</v>
      </c>
      <c r="G22" s="260" t="s">
        <v>2013</v>
      </c>
      <c r="H22" s="260" t="s">
        <v>174</v>
      </c>
      <c r="I22" s="260" t="s">
        <v>2045</v>
      </c>
      <c r="J22" s="258" t="s">
        <v>1272</v>
      </c>
    </row>
    <row r="23" spans="1:10" hidden="1">
      <c r="A23" s="258" t="s">
        <v>2046</v>
      </c>
      <c r="B23" s="259">
        <v>129</v>
      </c>
      <c r="C23" s="258" t="s">
        <v>140</v>
      </c>
      <c r="D23" s="260" t="s">
        <v>2048</v>
      </c>
      <c r="E23" s="260" t="s">
        <v>2049</v>
      </c>
      <c r="F23" s="260" t="s">
        <v>1955</v>
      </c>
      <c r="G23" s="260" t="s">
        <v>2050</v>
      </c>
      <c r="H23" s="260" t="s">
        <v>140</v>
      </c>
      <c r="I23" s="260" t="s">
        <v>2051</v>
      </c>
      <c r="J23" s="258" t="s">
        <v>1235</v>
      </c>
    </row>
    <row r="24" spans="1:10" hidden="1">
      <c r="A24" s="258" t="s">
        <v>2047</v>
      </c>
      <c r="B24" s="259">
        <v>110</v>
      </c>
      <c r="C24" s="258" t="s">
        <v>140</v>
      </c>
      <c r="D24" s="260" t="s">
        <v>2052</v>
      </c>
      <c r="E24" s="260" t="s">
        <v>2007</v>
      </c>
      <c r="F24" s="260" t="s">
        <v>1955</v>
      </c>
      <c r="G24" s="260" t="s">
        <v>2050</v>
      </c>
      <c r="H24" s="260" t="s">
        <v>140</v>
      </c>
      <c r="I24" s="260" t="s">
        <v>2053</v>
      </c>
      <c r="J24" s="258" t="s">
        <v>1233</v>
      </c>
    </row>
    <row r="25" spans="1:10" hidden="1">
      <c r="A25" s="258" t="s">
        <v>2054</v>
      </c>
      <c r="B25" s="259">
        <v>151</v>
      </c>
      <c r="C25" s="258" t="s">
        <v>1647</v>
      </c>
      <c r="D25" s="260" t="s">
        <v>2055</v>
      </c>
      <c r="E25" s="260" t="s">
        <v>1997</v>
      </c>
      <c r="F25" s="260" t="s">
        <v>1955</v>
      </c>
      <c r="G25" s="260" t="s">
        <v>2056</v>
      </c>
      <c r="H25" s="260" t="s">
        <v>1647</v>
      </c>
      <c r="I25" s="260" t="s">
        <v>2057</v>
      </c>
      <c r="J25" s="258" t="s">
        <v>1208</v>
      </c>
    </row>
    <row r="26" spans="1:10" hidden="1">
      <c r="A26" s="258" t="s">
        <v>2021</v>
      </c>
      <c r="B26" s="259">
        <v>15</v>
      </c>
      <c r="C26" s="258" t="s">
        <v>50</v>
      </c>
      <c r="D26" s="260" t="s">
        <v>2058</v>
      </c>
      <c r="E26" s="260" t="s">
        <v>2023</v>
      </c>
      <c r="F26" s="260" t="s">
        <v>1955</v>
      </c>
      <c r="G26" s="260" t="s">
        <v>2059</v>
      </c>
      <c r="H26" s="260" t="s">
        <v>2060</v>
      </c>
      <c r="I26" s="260" t="s">
        <v>2061</v>
      </c>
      <c r="J26" s="258" t="s">
        <v>1955</v>
      </c>
    </row>
    <row r="27" spans="1:10" hidden="1">
      <c r="A27" s="258" t="s">
        <v>2062</v>
      </c>
      <c r="B27" s="259">
        <v>258</v>
      </c>
      <c r="C27" s="258" t="s">
        <v>108</v>
      </c>
      <c r="D27" s="260" t="s">
        <v>2063</v>
      </c>
      <c r="E27" s="260" t="s">
        <v>2064</v>
      </c>
      <c r="F27" s="260" t="s">
        <v>1955</v>
      </c>
      <c r="G27" s="260" t="s">
        <v>2065</v>
      </c>
      <c r="H27" s="260" t="s">
        <v>108</v>
      </c>
      <c r="I27" s="260" t="s">
        <v>2066</v>
      </c>
      <c r="J27" s="258" t="s">
        <v>2067</v>
      </c>
    </row>
    <row r="28" spans="1:10" hidden="1">
      <c r="A28" s="258" t="s">
        <v>2068</v>
      </c>
      <c r="B28" s="259">
        <v>123</v>
      </c>
      <c r="C28" s="258" t="s">
        <v>265</v>
      </c>
      <c r="D28" s="260" t="s">
        <v>2069</v>
      </c>
      <c r="E28" s="260" t="s">
        <v>1954</v>
      </c>
      <c r="F28" s="260" t="s">
        <v>1955</v>
      </c>
      <c r="G28" s="260" t="s">
        <v>2070</v>
      </c>
      <c r="H28" s="260" t="s">
        <v>265</v>
      </c>
      <c r="I28" s="260" t="s">
        <v>2071</v>
      </c>
      <c r="J28" s="258" t="s">
        <v>2072</v>
      </c>
    </row>
    <row r="29" spans="1:10" hidden="1">
      <c r="A29" s="258" t="s">
        <v>2036</v>
      </c>
      <c r="B29" s="259">
        <v>18</v>
      </c>
      <c r="C29" s="258" t="s">
        <v>1165</v>
      </c>
      <c r="D29" s="260" t="s">
        <v>2073</v>
      </c>
      <c r="E29" s="260" t="s">
        <v>2023</v>
      </c>
      <c r="F29" s="260" t="s">
        <v>1955</v>
      </c>
      <c r="G29" s="260" t="s">
        <v>2074</v>
      </c>
      <c r="H29" s="260" t="s">
        <v>1165</v>
      </c>
      <c r="I29" s="260" t="s">
        <v>2075</v>
      </c>
      <c r="J29" s="258" t="s">
        <v>2076</v>
      </c>
    </row>
    <row r="30" spans="1:10" hidden="1">
      <c r="A30" s="258" t="s">
        <v>2036</v>
      </c>
      <c r="B30" s="259">
        <v>80</v>
      </c>
      <c r="C30" s="258" t="s">
        <v>251</v>
      </c>
      <c r="D30" s="260" t="s">
        <v>2077</v>
      </c>
      <c r="E30" s="260" t="s">
        <v>2078</v>
      </c>
      <c r="F30" s="260" t="s">
        <v>1955</v>
      </c>
      <c r="G30" s="260" t="s">
        <v>2079</v>
      </c>
      <c r="H30" s="260" t="s">
        <v>251</v>
      </c>
      <c r="I30" s="260" t="s">
        <v>2080</v>
      </c>
      <c r="J30" s="258" t="s">
        <v>1195</v>
      </c>
    </row>
    <row r="31" spans="1:10" hidden="1">
      <c r="A31" s="261" t="s">
        <v>2081</v>
      </c>
      <c r="B31" s="259">
        <v>73</v>
      </c>
      <c r="C31" s="258" t="s">
        <v>2082</v>
      </c>
      <c r="D31" s="260" t="s">
        <v>2083</v>
      </c>
      <c r="E31" s="260" t="s">
        <v>2084</v>
      </c>
      <c r="F31" s="260" t="s">
        <v>1955</v>
      </c>
      <c r="G31" s="260" t="s">
        <v>2085</v>
      </c>
      <c r="H31" s="260" t="s">
        <v>2082</v>
      </c>
      <c r="I31" s="260" t="s">
        <v>2086</v>
      </c>
      <c r="J31" s="258" t="s">
        <v>2087</v>
      </c>
    </row>
    <row r="32" spans="1:10" hidden="1">
      <c r="A32" s="258" t="s">
        <v>2036</v>
      </c>
      <c r="B32" s="259">
        <v>114</v>
      </c>
      <c r="C32" s="258" t="s">
        <v>231</v>
      </c>
      <c r="D32" s="260" t="s">
        <v>2088</v>
      </c>
      <c r="E32" s="260" t="s">
        <v>1984</v>
      </c>
      <c r="F32" s="260" t="s">
        <v>1955</v>
      </c>
      <c r="G32" s="260" t="s">
        <v>2089</v>
      </c>
      <c r="H32" s="260" t="s">
        <v>231</v>
      </c>
      <c r="I32" s="260" t="s">
        <v>2090</v>
      </c>
      <c r="J32" s="258" t="s">
        <v>1239</v>
      </c>
    </row>
    <row r="33" spans="1:10" hidden="1">
      <c r="A33" s="258" t="s">
        <v>2091</v>
      </c>
      <c r="B33" s="259">
        <v>123</v>
      </c>
      <c r="C33" s="258" t="s">
        <v>277</v>
      </c>
      <c r="D33" s="260" t="s">
        <v>2092</v>
      </c>
      <c r="E33" s="260" t="s">
        <v>1984</v>
      </c>
      <c r="F33" s="260" t="s">
        <v>1955</v>
      </c>
      <c r="G33" s="260" t="s">
        <v>2093</v>
      </c>
      <c r="H33" s="260" t="s">
        <v>277</v>
      </c>
      <c r="I33" s="260" t="s">
        <v>2094</v>
      </c>
      <c r="J33" s="258" t="s">
        <v>1274</v>
      </c>
    </row>
    <row r="34" spans="1:10" hidden="1">
      <c r="A34" s="258" t="s">
        <v>2095</v>
      </c>
      <c r="B34" s="259">
        <v>81</v>
      </c>
      <c r="C34" s="258" t="s">
        <v>545</v>
      </c>
      <c r="D34" s="260" t="s">
        <v>2096</v>
      </c>
      <c r="E34" s="260" t="s">
        <v>2097</v>
      </c>
      <c r="F34" s="260" t="s">
        <v>1955</v>
      </c>
      <c r="G34" s="260" t="s">
        <v>2098</v>
      </c>
      <c r="H34" s="260" t="s">
        <v>545</v>
      </c>
      <c r="I34" s="260" t="s">
        <v>2099</v>
      </c>
      <c r="J34" s="258" t="s">
        <v>1541</v>
      </c>
    </row>
    <row r="35" spans="1:10" hidden="1">
      <c r="A35" s="261" t="s">
        <v>2100</v>
      </c>
      <c r="B35" s="259">
        <v>320</v>
      </c>
      <c r="C35" s="258" t="s">
        <v>2101</v>
      </c>
      <c r="D35" s="260" t="s">
        <v>2102</v>
      </c>
      <c r="E35" s="260" t="s">
        <v>2103</v>
      </c>
      <c r="F35" s="260" t="s">
        <v>1955</v>
      </c>
      <c r="G35" s="260" t="s">
        <v>2104</v>
      </c>
      <c r="H35" s="260" t="s">
        <v>2101</v>
      </c>
      <c r="I35" s="260" t="s">
        <v>2105</v>
      </c>
      <c r="J35" s="258" t="s">
        <v>2106</v>
      </c>
    </row>
    <row r="36" spans="1:10" hidden="1">
      <c r="A36" s="258" t="s">
        <v>2107</v>
      </c>
      <c r="B36" s="259">
        <v>170</v>
      </c>
      <c r="C36" s="258" t="s">
        <v>235</v>
      </c>
      <c r="D36" s="260" t="s">
        <v>2109</v>
      </c>
      <c r="E36" s="260" t="s">
        <v>2017</v>
      </c>
      <c r="F36" s="260" t="s">
        <v>1955</v>
      </c>
      <c r="G36" s="260" t="s">
        <v>2110</v>
      </c>
      <c r="H36" s="260" t="s">
        <v>235</v>
      </c>
      <c r="I36" s="260" t="s">
        <v>2111</v>
      </c>
      <c r="J36" s="258" t="s">
        <v>2112</v>
      </c>
    </row>
    <row r="37" spans="1:10" hidden="1">
      <c r="A37" s="258" t="s">
        <v>2108</v>
      </c>
      <c r="B37" s="259">
        <v>27</v>
      </c>
      <c r="C37" s="258" t="s">
        <v>140</v>
      </c>
      <c r="D37" s="260" t="s">
        <v>2113</v>
      </c>
      <c r="E37" s="260" t="s">
        <v>2114</v>
      </c>
      <c r="F37" s="260" t="s">
        <v>1955</v>
      </c>
      <c r="G37" s="260" t="s">
        <v>2050</v>
      </c>
      <c r="H37" s="260" t="s">
        <v>140</v>
      </c>
      <c r="I37" s="260" t="s">
        <v>2115</v>
      </c>
      <c r="J37" s="258" t="s">
        <v>1237</v>
      </c>
    </row>
    <row r="38" spans="1:10" hidden="1">
      <c r="A38" s="258" t="s">
        <v>2116</v>
      </c>
      <c r="B38" s="259">
        <v>36</v>
      </c>
      <c r="C38" s="258" t="s">
        <v>935</v>
      </c>
      <c r="D38" s="260" t="s">
        <v>2117</v>
      </c>
      <c r="E38" s="260" t="s">
        <v>2118</v>
      </c>
      <c r="F38" s="260" t="s">
        <v>1955</v>
      </c>
      <c r="G38" s="260" t="s">
        <v>2119</v>
      </c>
      <c r="H38" s="260" t="s">
        <v>935</v>
      </c>
      <c r="I38" s="260" t="s">
        <v>2120</v>
      </c>
      <c r="J38" s="258" t="s">
        <v>2121</v>
      </c>
    </row>
    <row r="39" spans="1:10" hidden="1">
      <c r="A39" s="258" t="s">
        <v>2122</v>
      </c>
      <c r="B39" s="259">
        <v>100</v>
      </c>
      <c r="C39" s="258" t="s">
        <v>568</v>
      </c>
      <c r="D39" s="260" t="s">
        <v>2011</v>
      </c>
      <c r="E39" s="260" t="s">
        <v>2023</v>
      </c>
      <c r="F39" s="260" t="s">
        <v>1955</v>
      </c>
      <c r="G39" s="260" t="s">
        <v>2123</v>
      </c>
      <c r="H39" s="260" t="s">
        <v>568</v>
      </c>
      <c r="I39" s="260" t="s">
        <v>2124</v>
      </c>
      <c r="J39" s="258" t="s">
        <v>1227</v>
      </c>
    </row>
    <row r="40" spans="1:10" hidden="1">
      <c r="A40" s="258" t="s">
        <v>2125</v>
      </c>
      <c r="B40" s="259">
        <v>26</v>
      </c>
      <c r="C40" s="258" t="s">
        <v>49</v>
      </c>
      <c r="D40" s="260" t="s">
        <v>2126</v>
      </c>
      <c r="E40" s="260" t="s">
        <v>1980</v>
      </c>
      <c r="F40" s="260" t="s">
        <v>1955</v>
      </c>
      <c r="G40" s="260" t="s">
        <v>2127</v>
      </c>
      <c r="H40" s="260" t="s">
        <v>49</v>
      </c>
      <c r="I40" s="260" t="s">
        <v>2128</v>
      </c>
      <c r="J40" s="258" t="s">
        <v>1276</v>
      </c>
    </row>
    <row r="41" spans="1:10" hidden="1">
      <c r="A41" s="258" t="s">
        <v>2129</v>
      </c>
      <c r="B41" s="259">
        <v>145</v>
      </c>
      <c r="C41" s="258" t="s">
        <v>530</v>
      </c>
      <c r="D41" s="260" t="s">
        <v>2131</v>
      </c>
      <c r="E41" s="260" t="s">
        <v>2084</v>
      </c>
      <c r="F41" s="260" t="s">
        <v>1955</v>
      </c>
      <c r="G41" s="260" t="s">
        <v>2132</v>
      </c>
      <c r="H41" s="260" t="s">
        <v>530</v>
      </c>
      <c r="I41" s="260" t="s">
        <v>2133</v>
      </c>
      <c r="J41" s="258" t="s">
        <v>2134</v>
      </c>
    </row>
    <row r="42" spans="1:10" hidden="1">
      <c r="A42" s="258" t="s">
        <v>2130</v>
      </c>
      <c r="B42" s="259">
        <v>67</v>
      </c>
      <c r="C42" s="258" t="s">
        <v>111</v>
      </c>
      <c r="D42" s="260" t="s">
        <v>2073</v>
      </c>
      <c r="E42" s="260" t="s">
        <v>1954</v>
      </c>
      <c r="F42" s="260" t="s">
        <v>1955</v>
      </c>
      <c r="G42" s="260" t="s">
        <v>2135</v>
      </c>
      <c r="H42" s="260" t="s">
        <v>111</v>
      </c>
      <c r="I42" s="260" t="s">
        <v>2136</v>
      </c>
      <c r="J42" s="258" t="s">
        <v>1247</v>
      </c>
    </row>
    <row r="43" spans="1:10" hidden="1">
      <c r="A43" s="258" t="s">
        <v>2137</v>
      </c>
      <c r="B43" s="259">
        <v>106</v>
      </c>
      <c r="C43" s="258" t="s">
        <v>211</v>
      </c>
      <c r="D43" s="260" t="s">
        <v>2073</v>
      </c>
      <c r="E43" s="260" t="s">
        <v>1980</v>
      </c>
      <c r="F43" s="260" t="s">
        <v>1955</v>
      </c>
      <c r="G43" s="260" t="s">
        <v>2138</v>
      </c>
      <c r="H43" s="260" t="s">
        <v>211</v>
      </c>
      <c r="I43" s="260" t="s">
        <v>2139</v>
      </c>
      <c r="J43" s="258" t="s">
        <v>1264</v>
      </c>
    </row>
    <row r="44" spans="1:10" hidden="1">
      <c r="A44" s="258" t="s">
        <v>2140</v>
      </c>
      <c r="B44" s="259">
        <v>246</v>
      </c>
      <c r="C44" s="258" t="s">
        <v>214</v>
      </c>
      <c r="D44" s="260" t="s">
        <v>2141</v>
      </c>
      <c r="E44" s="260" t="s">
        <v>2142</v>
      </c>
      <c r="F44" s="260" t="s">
        <v>1955</v>
      </c>
      <c r="G44" s="260" t="s">
        <v>2143</v>
      </c>
      <c r="H44" s="260" t="s">
        <v>214</v>
      </c>
      <c r="I44" s="260" t="s">
        <v>2144</v>
      </c>
      <c r="J44" s="258" t="s">
        <v>2145</v>
      </c>
    </row>
    <row r="45" spans="1:10" hidden="1">
      <c r="A45" s="258" t="s">
        <v>2146</v>
      </c>
      <c r="B45" s="259">
        <v>209</v>
      </c>
      <c r="C45" s="258" t="s">
        <v>137</v>
      </c>
      <c r="D45" s="260" t="s">
        <v>2147</v>
      </c>
      <c r="E45" s="260" t="s">
        <v>2148</v>
      </c>
      <c r="F45" s="260" t="s">
        <v>1955</v>
      </c>
      <c r="G45" s="260" t="s">
        <v>2149</v>
      </c>
      <c r="H45" s="260" t="s">
        <v>137</v>
      </c>
      <c r="I45" s="260" t="s">
        <v>2150</v>
      </c>
      <c r="J45" s="258" t="s">
        <v>2151</v>
      </c>
    </row>
    <row r="46" spans="1:10" hidden="1">
      <c r="A46" s="258" t="s">
        <v>2152</v>
      </c>
      <c r="B46" s="259">
        <v>21</v>
      </c>
      <c r="C46" s="258" t="s">
        <v>530</v>
      </c>
      <c r="D46" s="260" t="s">
        <v>2153</v>
      </c>
      <c r="E46" s="260" t="s">
        <v>2154</v>
      </c>
      <c r="F46" s="260" t="s">
        <v>1955</v>
      </c>
      <c r="G46" s="260" t="s">
        <v>2132</v>
      </c>
      <c r="H46" s="260" t="s">
        <v>530</v>
      </c>
      <c r="I46" s="260" t="s">
        <v>2155</v>
      </c>
      <c r="J46" s="258" t="s">
        <v>1697</v>
      </c>
    </row>
    <row r="47" spans="1:10" hidden="1">
      <c r="A47" s="258" t="s">
        <v>2036</v>
      </c>
      <c r="B47" s="259">
        <v>54</v>
      </c>
      <c r="C47" s="258" t="s">
        <v>258</v>
      </c>
      <c r="D47" s="260" t="s">
        <v>1955</v>
      </c>
      <c r="E47" s="260" t="s">
        <v>2156</v>
      </c>
      <c r="F47" s="260" t="s">
        <v>1955</v>
      </c>
      <c r="G47" s="260" t="s">
        <v>2157</v>
      </c>
      <c r="H47" s="260" t="s">
        <v>1769</v>
      </c>
      <c r="I47" s="260" t="s">
        <v>2158</v>
      </c>
      <c r="J47" s="258" t="s">
        <v>1955</v>
      </c>
    </row>
    <row r="48" spans="1:10" hidden="1">
      <c r="A48" s="258" t="s">
        <v>2036</v>
      </c>
      <c r="B48" s="259">
        <v>32</v>
      </c>
      <c r="C48" s="258" t="s">
        <v>1165</v>
      </c>
      <c r="D48" s="260" t="s">
        <v>2126</v>
      </c>
      <c r="E48" s="260" t="s">
        <v>2159</v>
      </c>
      <c r="F48" s="260" t="s">
        <v>1955</v>
      </c>
      <c r="G48" s="260" t="s">
        <v>2074</v>
      </c>
      <c r="H48" s="260" t="s">
        <v>1165</v>
      </c>
      <c r="I48" s="260" t="s">
        <v>2160</v>
      </c>
      <c r="J48" s="258" t="s">
        <v>1280</v>
      </c>
    </row>
    <row r="49" spans="1:10" hidden="1">
      <c r="A49" s="258" t="s">
        <v>2161</v>
      </c>
      <c r="B49" s="259">
        <v>451</v>
      </c>
      <c r="C49" s="258" t="s">
        <v>532</v>
      </c>
      <c r="D49" s="260" t="s">
        <v>2126</v>
      </c>
      <c r="E49" s="260" t="s">
        <v>2162</v>
      </c>
      <c r="F49" s="260" t="s">
        <v>1955</v>
      </c>
      <c r="G49" s="260" t="s">
        <v>2163</v>
      </c>
      <c r="H49" s="260" t="s">
        <v>532</v>
      </c>
      <c r="I49" s="260" t="s">
        <v>2164</v>
      </c>
      <c r="J49" s="258" t="s">
        <v>2165</v>
      </c>
    </row>
    <row r="50" spans="1:10" hidden="1">
      <c r="A50" s="258" t="s">
        <v>2036</v>
      </c>
      <c r="B50" s="259">
        <v>99</v>
      </c>
      <c r="C50" s="258" t="s">
        <v>225</v>
      </c>
      <c r="D50" s="260" t="s">
        <v>2166</v>
      </c>
      <c r="E50" s="260" t="s">
        <v>2167</v>
      </c>
      <c r="F50" s="260" t="s">
        <v>1955</v>
      </c>
      <c r="G50" s="260" t="s">
        <v>2168</v>
      </c>
      <c r="H50" s="260" t="s">
        <v>225</v>
      </c>
      <c r="I50" s="260" t="s">
        <v>2169</v>
      </c>
      <c r="J50" s="258" t="s">
        <v>1955</v>
      </c>
    </row>
    <row r="51" spans="1:10" hidden="1">
      <c r="A51" s="258" t="s">
        <v>2170</v>
      </c>
      <c r="B51" s="259">
        <v>726</v>
      </c>
      <c r="C51" s="258" t="s">
        <v>2171</v>
      </c>
      <c r="D51" s="260" t="s">
        <v>2172</v>
      </c>
      <c r="E51" s="260" t="s">
        <v>1954</v>
      </c>
      <c r="F51" s="260" t="s">
        <v>1955</v>
      </c>
      <c r="G51" s="260" t="s">
        <v>2173</v>
      </c>
      <c r="H51" s="260" t="s">
        <v>51</v>
      </c>
      <c r="I51" s="260" t="s">
        <v>2174</v>
      </c>
      <c r="J51" s="258" t="s">
        <v>2175</v>
      </c>
    </row>
    <row r="52" spans="1:10" hidden="1">
      <c r="A52" s="258" t="s">
        <v>2176</v>
      </c>
      <c r="B52" s="259">
        <v>73</v>
      </c>
      <c r="C52" s="258" t="s">
        <v>1708</v>
      </c>
      <c r="D52" s="260" t="s">
        <v>2177</v>
      </c>
      <c r="E52" s="260" t="s">
        <v>2178</v>
      </c>
      <c r="F52" s="260" t="s">
        <v>1955</v>
      </c>
      <c r="G52" s="260" t="s">
        <v>2179</v>
      </c>
      <c r="H52" s="260" t="s">
        <v>1708</v>
      </c>
      <c r="I52" s="260" t="s">
        <v>2180</v>
      </c>
      <c r="J52" s="258" t="s">
        <v>1302</v>
      </c>
    </row>
    <row r="53" spans="1:10" hidden="1">
      <c r="A53" s="258" t="s">
        <v>2181</v>
      </c>
      <c r="B53" s="259">
        <v>19</v>
      </c>
      <c r="C53" s="258" t="s">
        <v>556</v>
      </c>
      <c r="D53" s="260" t="s">
        <v>2182</v>
      </c>
      <c r="E53" s="260" t="s">
        <v>2103</v>
      </c>
      <c r="F53" s="260" t="s">
        <v>1955</v>
      </c>
      <c r="G53" s="260" t="s">
        <v>2183</v>
      </c>
      <c r="H53" s="260" t="s">
        <v>556</v>
      </c>
      <c r="I53" s="260" t="s">
        <v>2184</v>
      </c>
      <c r="J53" s="258" t="s">
        <v>2185</v>
      </c>
    </row>
    <row r="54" spans="1:10" hidden="1">
      <c r="A54" s="258" t="s">
        <v>2186</v>
      </c>
      <c r="B54" s="259">
        <v>75</v>
      </c>
      <c r="C54" s="258" t="s">
        <v>188</v>
      </c>
      <c r="D54" s="260" t="s">
        <v>2187</v>
      </c>
      <c r="E54" s="260" t="s">
        <v>2103</v>
      </c>
      <c r="F54" s="260" t="s">
        <v>1955</v>
      </c>
      <c r="G54" s="260" t="s">
        <v>2188</v>
      </c>
      <c r="H54" s="260" t="s">
        <v>188</v>
      </c>
      <c r="I54" s="260" t="s">
        <v>2189</v>
      </c>
      <c r="J54" s="258" t="s">
        <v>1229</v>
      </c>
    </row>
    <row r="55" spans="1:10" hidden="1">
      <c r="A55" s="258" t="s">
        <v>2190</v>
      </c>
      <c r="B55" s="259">
        <v>15</v>
      </c>
      <c r="C55" s="258" t="s">
        <v>108</v>
      </c>
      <c r="D55" s="260" t="s">
        <v>2191</v>
      </c>
      <c r="E55" s="260" t="s">
        <v>2017</v>
      </c>
      <c r="F55" s="260" t="s">
        <v>1955</v>
      </c>
      <c r="G55" s="260" t="s">
        <v>2065</v>
      </c>
      <c r="H55" s="260" t="s">
        <v>108</v>
      </c>
      <c r="I55" s="260" t="s">
        <v>2192</v>
      </c>
      <c r="J55" s="258" t="s">
        <v>1262</v>
      </c>
    </row>
    <row r="56" spans="1:10" hidden="1">
      <c r="A56" s="262" t="s">
        <v>2193</v>
      </c>
      <c r="B56" s="259">
        <v>20</v>
      </c>
      <c r="C56" s="258" t="s">
        <v>2194</v>
      </c>
      <c r="D56" s="260" t="s">
        <v>2195</v>
      </c>
      <c r="E56" s="260" t="s">
        <v>1984</v>
      </c>
      <c r="F56" s="260" t="s">
        <v>1955</v>
      </c>
      <c r="G56" s="260" t="s">
        <v>2196</v>
      </c>
      <c r="H56" s="260" t="s">
        <v>2194</v>
      </c>
      <c r="I56" s="260" t="s">
        <v>2197</v>
      </c>
      <c r="J56" s="258" t="s">
        <v>2198</v>
      </c>
    </row>
    <row r="57" spans="1:10" hidden="1">
      <c r="A57" s="258" t="s">
        <v>2036</v>
      </c>
      <c r="B57" s="259">
        <v>58</v>
      </c>
      <c r="C57" s="258" t="s">
        <v>564</v>
      </c>
      <c r="D57" s="260" t="s">
        <v>2199</v>
      </c>
      <c r="E57" s="260" t="s">
        <v>1980</v>
      </c>
      <c r="F57" s="260" t="s">
        <v>1955</v>
      </c>
      <c r="G57" s="260" t="s">
        <v>2200</v>
      </c>
      <c r="H57" s="260" t="s">
        <v>564</v>
      </c>
      <c r="I57" s="260" t="s">
        <v>2201</v>
      </c>
      <c r="J57" s="258" t="s">
        <v>1241</v>
      </c>
    </row>
    <row r="58" spans="1:10" hidden="1">
      <c r="A58" s="258" t="s">
        <v>2202</v>
      </c>
      <c r="B58" s="259">
        <v>113</v>
      </c>
      <c r="C58" s="258" t="s">
        <v>272</v>
      </c>
      <c r="D58" s="260" t="s">
        <v>2096</v>
      </c>
      <c r="E58" s="260" t="s">
        <v>2203</v>
      </c>
      <c r="F58" s="260" t="s">
        <v>1955</v>
      </c>
      <c r="G58" s="260" t="s">
        <v>2204</v>
      </c>
      <c r="H58" s="260" t="s">
        <v>272</v>
      </c>
      <c r="I58" s="260" t="s">
        <v>2205</v>
      </c>
      <c r="J58" s="258" t="s">
        <v>1300</v>
      </c>
    </row>
    <row r="59" spans="1:10" hidden="1">
      <c r="A59" s="258" t="s">
        <v>2206</v>
      </c>
      <c r="B59" s="259">
        <v>25</v>
      </c>
      <c r="C59" s="258" t="s">
        <v>102</v>
      </c>
      <c r="D59" s="260" t="s">
        <v>2207</v>
      </c>
      <c r="E59" s="260" t="s">
        <v>2203</v>
      </c>
      <c r="F59" s="260" t="s">
        <v>1955</v>
      </c>
      <c r="G59" s="260" t="s">
        <v>2208</v>
      </c>
      <c r="H59" s="260" t="s">
        <v>102</v>
      </c>
      <c r="I59" s="260" t="s">
        <v>2209</v>
      </c>
      <c r="J59" s="258" t="s">
        <v>1225</v>
      </c>
    </row>
    <row r="60" spans="1:10" hidden="1">
      <c r="A60" s="258" t="s">
        <v>2210</v>
      </c>
      <c r="B60" s="259">
        <v>124</v>
      </c>
      <c r="C60" s="258" t="s">
        <v>260</v>
      </c>
      <c r="D60" s="260" t="s">
        <v>1969</v>
      </c>
      <c r="E60" s="260" t="s">
        <v>2211</v>
      </c>
      <c r="F60" s="260" t="s">
        <v>1955</v>
      </c>
      <c r="G60" s="260" t="s">
        <v>2212</v>
      </c>
      <c r="H60" s="260" t="s">
        <v>260</v>
      </c>
      <c r="I60" s="260" t="s">
        <v>2213</v>
      </c>
      <c r="J60" s="258" t="s">
        <v>1955</v>
      </c>
    </row>
    <row r="61" spans="1:10" hidden="1">
      <c r="A61" s="258" t="s">
        <v>2214</v>
      </c>
      <c r="B61" s="259">
        <v>161</v>
      </c>
      <c r="C61" s="258" t="s">
        <v>260</v>
      </c>
      <c r="D61" s="260" t="s">
        <v>2215</v>
      </c>
      <c r="E61" s="260" t="s">
        <v>2002</v>
      </c>
      <c r="F61" s="260" t="s">
        <v>1955</v>
      </c>
      <c r="G61" s="260" t="s">
        <v>2212</v>
      </c>
      <c r="H61" s="260" t="s">
        <v>260</v>
      </c>
      <c r="I61" s="260" t="s">
        <v>2216</v>
      </c>
      <c r="J61" s="258" t="s">
        <v>1955</v>
      </c>
    </row>
    <row r="62" spans="1:10" hidden="1">
      <c r="A62" s="258" t="s">
        <v>2217</v>
      </c>
      <c r="B62" s="259">
        <v>76</v>
      </c>
      <c r="C62" s="258" t="s">
        <v>576</v>
      </c>
      <c r="D62" s="260" t="s">
        <v>2131</v>
      </c>
      <c r="E62" s="260" t="s">
        <v>2017</v>
      </c>
      <c r="F62" s="260" t="s">
        <v>1955</v>
      </c>
      <c r="G62" s="260" t="s">
        <v>2218</v>
      </c>
      <c r="H62" s="260" t="s">
        <v>576</v>
      </c>
      <c r="I62" s="260" t="s">
        <v>2219</v>
      </c>
      <c r="J62" s="258" t="s">
        <v>1955</v>
      </c>
    </row>
    <row r="63" spans="1:10" hidden="1">
      <c r="A63" s="258" t="s">
        <v>2220</v>
      </c>
      <c r="B63" s="259">
        <v>4</v>
      </c>
      <c r="C63" s="258" t="s">
        <v>2221</v>
      </c>
      <c r="D63" s="260" t="s">
        <v>2222</v>
      </c>
      <c r="E63" s="260" t="s">
        <v>2223</v>
      </c>
      <c r="F63" s="260" t="s">
        <v>1955</v>
      </c>
      <c r="G63" s="260" t="s">
        <v>1991</v>
      </c>
      <c r="H63" s="260" t="s">
        <v>51</v>
      </c>
      <c r="I63" s="260" t="s">
        <v>1992</v>
      </c>
      <c r="J63" s="258" t="s">
        <v>1910</v>
      </c>
    </row>
  </sheetData>
  <sheetProtection algorithmName="SHA-512" hashValue="Iea53jKvY3XarB2W3Y0FNKDBieO8zHDmwXTgcaAsEVlnz4hEJWndeBuJwuGi0NxtACPUb5QxCjlmrg8B37ofXw==" saltValue="sgmhIWaUp4bvF60q4gMvH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B1" workbookViewId="0">
      <selection activeCell="B2" sqref="A2:XFD113"/>
    </sheetView>
  </sheetViews>
  <sheetFormatPr defaultRowHeight="15"/>
  <cols>
    <col min="1" max="1" width="77.85546875" customWidth="1"/>
    <col min="2" max="2" width="102.42578125" bestFit="1" customWidth="1"/>
    <col min="3" max="3" width="34.5703125" bestFit="1" customWidth="1"/>
    <col min="4" max="4" width="15.42578125" bestFit="1" customWidth="1"/>
    <col min="5" max="5" width="27.140625" bestFit="1" customWidth="1"/>
    <col min="6" max="6" width="71.85546875" customWidth="1"/>
    <col min="7" max="7" width="35.85546875" bestFit="1" customWidth="1"/>
  </cols>
  <sheetData>
    <row r="1" spans="1:7">
      <c r="A1" s="245" t="s">
        <v>1522</v>
      </c>
      <c r="B1" s="245" t="s">
        <v>1523</v>
      </c>
      <c r="C1" s="245" t="s">
        <v>1524</v>
      </c>
      <c r="D1" s="245" t="s">
        <v>1525</v>
      </c>
      <c r="E1" s="245" t="s">
        <v>1526</v>
      </c>
      <c r="F1" s="245" t="s">
        <v>1527</v>
      </c>
      <c r="G1" s="273"/>
    </row>
    <row r="2" spans="1:7" hidden="1">
      <c r="A2" s="246" t="s">
        <v>1528</v>
      </c>
      <c r="B2" s="247" t="s">
        <v>1529</v>
      </c>
      <c r="C2" s="247" t="s">
        <v>1530</v>
      </c>
      <c r="D2" s="247" t="s">
        <v>192</v>
      </c>
      <c r="E2" s="247" t="s">
        <v>1531</v>
      </c>
      <c r="F2" s="247" t="s">
        <v>1532</v>
      </c>
      <c r="G2" s="273"/>
    </row>
    <row r="3" spans="1:7" hidden="1">
      <c r="A3" s="246"/>
      <c r="B3" s="248" t="s">
        <v>1533</v>
      </c>
      <c r="C3" s="247" t="s">
        <v>1534</v>
      </c>
      <c r="D3" s="263" t="s">
        <v>192</v>
      </c>
      <c r="E3" s="247" t="s">
        <v>1183</v>
      </c>
      <c r="F3" s="264" t="s">
        <v>1286</v>
      </c>
      <c r="G3" s="273" t="s">
        <v>1287</v>
      </c>
    </row>
    <row r="4" spans="1:7" hidden="1">
      <c r="A4" s="246" t="s">
        <v>1535</v>
      </c>
      <c r="B4" s="249" t="s">
        <v>1331</v>
      </c>
      <c r="C4" s="247" t="s">
        <v>1536</v>
      </c>
      <c r="D4" s="263" t="s">
        <v>192</v>
      </c>
      <c r="E4" s="247" t="s">
        <v>1184</v>
      </c>
      <c r="F4" s="247" t="s">
        <v>1537</v>
      </c>
      <c r="G4" s="273"/>
    </row>
    <row r="5" spans="1:7" hidden="1">
      <c r="A5" s="246" t="s">
        <v>1538</v>
      </c>
      <c r="B5" s="250" t="s">
        <v>1539</v>
      </c>
      <c r="C5" s="247" t="s">
        <v>1540</v>
      </c>
      <c r="D5" s="263" t="s">
        <v>545</v>
      </c>
      <c r="E5" s="247" t="s">
        <v>1185</v>
      </c>
      <c r="F5" s="247" t="s">
        <v>1541</v>
      </c>
      <c r="G5" s="273"/>
    </row>
    <row r="6" spans="1:7" hidden="1">
      <c r="A6" s="246" t="s">
        <v>1542</v>
      </c>
      <c r="B6" s="247" t="s">
        <v>1543</v>
      </c>
      <c r="C6" s="247" t="s">
        <v>1544</v>
      </c>
      <c r="D6" s="263" t="s">
        <v>560</v>
      </c>
      <c r="E6" s="247" t="s">
        <v>1186</v>
      </c>
      <c r="F6" s="247" t="s">
        <v>1187</v>
      </c>
      <c r="G6" s="273"/>
    </row>
    <row r="7" spans="1:7" hidden="1">
      <c r="A7" s="251" t="s">
        <v>1545</v>
      </c>
      <c r="B7" s="247" t="s">
        <v>1546</v>
      </c>
      <c r="C7" s="247" t="s">
        <v>1547</v>
      </c>
      <c r="D7" s="247" t="s">
        <v>560</v>
      </c>
      <c r="E7" s="247" t="s">
        <v>1548</v>
      </c>
      <c r="F7" s="247" t="s">
        <v>1549</v>
      </c>
      <c r="G7" s="273"/>
    </row>
    <row r="8" spans="1:7" hidden="1">
      <c r="A8" s="246" t="s">
        <v>1550</v>
      </c>
      <c r="B8" s="247" t="s">
        <v>1551</v>
      </c>
      <c r="C8" s="247" t="s">
        <v>1552</v>
      </c>
      <c r="D8" s="263" t="s">
        <v>560</v>
      </c>
      <c r="E8" s="247" t="s">
        <v>1188</v>
      </c>
      <c r="F8" s="247" t="s">
        <v>1189</v>
      </c>
      <c r="G8" s="273"/>
    </row>
    <row r="9" spans="1:7" hidden="1">
      <c r="A9" s="246" t="s">
        <v>1553</v>
      </c>
      <c r="B9" s="247" t="s">
        <v>1554</v>
      </c>
      <c r="C9" s="247" t="s">
        <v>1555</v>
      </c>
      <c r="D9" s="247" t="s">
        <v>560</v>
      </c>
      <c r="E9" s="247" t="s">
        <v>1556</v>
      </c>
      <c r="F9" s="247" t="s">
        <v>1557</v>
      </c>
      <c r="G9" s="273"/>
    </row>
    <row r="10" spans="1:7" hidden="1">
      <c r="A10" s="246" t="s">
        <v>1558</v>
      </c>
      <c r="B10" s="247" t="s">
        <v>1559</v>
      </c>
      <c r="C10" s="247" t="s">
        <v>1560</v>
      </c>
      <c r="D10" s="247" t="s">
        <v>1561</v>
      </c>
      <c r="E10" s="247" t="s">
        <v>1562</v>
      </c>
      <c r="F10" s="247" t="s">
        <v>1563</v>
      </c>
      <c r="G10" s="273"/>
    </row>
    <row r="11" spans="1:7" hidden="1">
      <c r="A11" s="246" t="s">
        <v>1564</v>
      </c>
      <c r="B11" s="250" t="s">
        <v>1565</v>
      </c>
      <c r="C11" s="247" t="s">
        <v>1566</v>
      </c>
      <c r="D11" s="263" t="s">
        <v>549</v>
      </c>
      <c r="E11" s="247" t="s">
        <v>1190</v>
      </c>
      <c r="F11" s="247" t="s">
        <v>1191</v>
      </c>
      <c r="G11" s="273"/>
    </row>
    <row r="12" spans="1:7" hidden="1">
      <c r="A12" s="246" t="s">
        <v>1567</v>
      </c>
      <c r="B12" s="250" t="s">
        <v>1568</v>
      </c>
      <c r="C12" s="247" t="s">
        <v>1569</v>
      </c>
      <c r="D12" s="263" t="s">
        <v>556</v>
      </c>
      <c r="E12" s="247" t="s">
        <v>1192</v>
      </c>
      <c r="F12" s="247" t="s">
        <v>1193</v>
      </c>
      <c r="G12" s="273"/>
    </row>
    <row r="13" spans="1:7" hidden="1">
      <c r="A13" s="246" t="s">
        <v>1489</v>
      </c>
      <c r="B13" s="250" t="s">
        <v>1570</v>
      </c>
      <c r="C13" s="247" t="s">
        <v>1571</v>
      </c>
      <c r="D13" s="263" t="s">
        <v>251</v>
      </c>
      <c r="E13" s="247" t="s">
        <v>1194</v>
      </c>
      <c r="F13" s="247" t="s">
        <v>1195</v>
      </c>
      <c r="G13" s="273"/>
    </row>
    <row r="14" spans="1:7" hidden="1">
      <c r="A14" s="246" t="s">
        <v>274</v>
      </c>
      <c r="B14" s="250" t="s">
        <v>1572</v>
      </c>
      <c r="C14" s="247" t="s">
        <v>1573</v>
      </c>
      <c r="D14" s="263" t="s">
        <v>275</v>
      </c>
      <c r="E14" s="247" t="s">
        <v>1196</v>
      </c>
      <c r="F14" s="247" t="s">
        <v>1197</v>
      </c>
      <c r="G14" s="273"/>
    </row>
    <row r="15" spans="1:7" hidden="1">
      <c r="A15" s="251" t="s">
        <v>1574</v>
      </c>
      <c r="B15" s="247" t="s">
        <v>1575</v>
      </c>
      <c r="C15" s="247" t="s">
        <v>1576</v>
      </c>
      <c r="D15" s="247" t="s">
        <v>498</v>
      </c>
      <c r="E15" s="247" t="s">
        <v>1577</v>
      </c>
      <c r="F15" s="247" t="s">
        <v>1578</v>
      </c>
      <c r="G15" s="273"/>
    </row>
    <row r="16" spans="1:7" hidden="1">
      <c r="A16" s="246" t="s">
        <v>1579</v>
      </c>
      <c r="B16" s="247" t="s">
        <v>1580</v>
      </c>
      <c r="C16" s="247" t="s">
        <v>1581</v>
      </c>
      <c r="D16" s="247" t="s">
        <v>498</v>
      </c>
      <c r="E16" s="247" t="s">
        <v>1582</v>
      </c>
      <c r="F16" s="247" t="s">
        <v>1583</v>
      </c>
      <c r="G16" s="273"/>
    </row>
    <row r="17" spans="1:7" hidden="1">
      <c r="A17" s="246" t="s">
        <v>1584</v>
      </c>
      <c r="B17" s="247" t="s">
        <v>1585</v>
      </c>
      <c r="C17" s="247" t="s">
        <v>1586</v>
      </c>
      <c r="D17" s="263" t="s">
        <v>498</v>
      </c>
      <c r="E17" s="247" t="s">
        <v>1198</v>
      </c>
      <c r="F17" s="247" t="s">
        <v>1199</v>
      </c>
      <c r="G17" s="273"/>
    </row>
    <row r="18" spans="1:7" hidden="1">
      <c r="A18" s="246" t="s">
        <v>1587</v>
      </c>
      <c r="B18" s="247" t="s">
        <v>1588</v>
      </c>
      <c r="C18" s="247" t="s">
        <v>1589</v>
      </c>
      <c r="D18" s="247" t="s">
        <v>528</v>
      </c>
      <c r="E18" s="247" t="s">
        <v>1590</v>
      </c>
      <c r="F18" s="247" t="s">
        <v>1591</v>
      </c>
      <c r="G18" s="273"/>
    </row>
    <row r="19" spans="1:7" hidden="1">
      <c r="A19" s="246" t="s">
        <v>1592</v>
      </c>
      <c r="B19" s="247" t="s">
        <v>1593</v>
      </c>
      <c r="C19" s="247" t="s">
        <v>1594</v>
      </c>
      <c r="D19" s="247" t="s">
        <v>528</v>
      </c>
      <c r="E19" s="247" t="s">
        <v>1595</v>
      </c>
      <c r="F19" s="247" t="s">
        <v>1596</v>
      </c>
      <c r="G19" s="273"/>
    </row>
    <row r="20" spans="1:7" hidden="1">
      <c r="A20" s="246" t="s">
        <v>1597</v>
      </c>
      <c r="B20" s="250" t="s">
        <v>1598</v>
      </c>
      <c r="C20" s="247" t="s">
        <v>1599</v>
      </c>
      <c r="D20" s="263" t="s">
        <v>528</v>
      </c>
      <c r="E20" s="247" t="s">
        <v>1200</v>
      </c>
      <c r="F20" s="247" t="s">
        <v>1201</v>
      </c>
      <c r="G20" s="272" t="s">
        <v>2239</v>
      </c>
    </row>
    <row r="21" spans="1:7" hidden="1">
      <c r="A21" s="246" t="s">
        <v>1600</v>
      </c>
      <c r="B21" s="247" t="s">
        <v>1601</v>
      </c>
      <c r="C21" s="247" t="s">
        <v>1602</v>
      </c>
      <c r="D21" s="247" t="s">
        <v>528</v>
      </c>
      <c r="E21" s="247" t="s">
        <v>1603</v>
      </c>
      <c r="F21" s="247" t="s">
        <v>1604</v>
      </c>
      <c r="G21" s="273"/>
    </row>
    <row r="22" spans="1:7" hidden="1">
      <c r="A22" s="246" t="s">
        <v>1605</v>
      </c>
      <c r="B22" s="247" t="s">
        <v>1606</v>
      </c>
      <c r="C22" s="247" t="s">
        <v>1607</v>
      </c>
      <c r="D22" s="247" t="s">
        <v>528</v>
      </c>
      <c r="E22" s="247" t="s">
        <v>1608</v>
      </c>
      <c r="F22" s="247" t="s">
        <v>1609</v>
      </c>
      <c r="G22" s="273"/>
    </row>
    <row r="23" spans="1:7" hidden="1">
      <c r="A23" s="246" t="s">
        <v>1610</v>
      </c>
      <c r="B23" s="247" t="s">
        <v>1611</v>
      </c>
      <c r="C23" s="247" t="s">
        <v>1612</v>
      </c>
      <c r="D23" s="247" t="s">
        <v>528</v>
      </c>
      <c r="E23" s="247" t="s">
        <v>1613</v>
      </c>
      <c r="F23" s="247" t="s">
        <v>1614</v>
      </c>
      <c r="G23" s="273"/>
    </row>
    <row r="24" spans="1:7" hidden="1">
      <c r="A24" s="246" t="s">
        <v>1615</v>
      </c>
      <c r="B24" s="247" t="s">
        <v>1616</v>
      </c>
      <c r="C24" s="247" t="s">
        <v>1617</v>
      </c>
      <c r="D24" s="247" t="s">
        <v>528</v>
      </c>
      <c r="E24" s="247" t="s">
        <v>1618</v>
      </c>
      <c r="F24" s="247" t="s">
        <v>1619</v>
      </c>
      <c r="G24" s="273"/>
    </row>
    <row r="25" spans="1:7" hidden="1">
      <c r="A25" s="246" t="s">
        <v>1620</v>
      </c>
      <c r="B25" s="247" t="s">
        <v>1621</v>
      </c>
      <c r="C25" s="247" t="s">
        <v>1622</v>
      </c>
      <c r="D25" s="247" t="s">
        <v>528</v>
      </c>
      <c r="E25" s="247" t="s">
        <v>1623</v>
      </c>
      <c r="F25" s="247" t="s">
        <v>1624</v>
      </c>
      <c r="G25" s="273"/>
    </row>
    <row r="26" spans="1:7" hidden="1">
      <c r="A26" s="246" t="s">
        <v>1625</v>
      </c>
      <c r="B26" s="250" t="s">
        <v>1626</v>
      </c>
      <c r="C26" s="247" t="s">
        <v>1627</v>
      </c>
      <c r="D26" s="263" t="s">
        <v>137</v>
      </c>
      <c r="E26" s="247" t="s">
        <v>1202</v>
      </c>
      <c r="F26" s="264" t="s">
        <v>1290</v>
      </c>
      <c r="G26" s="273" t="s">
        <v>1291</v>
      </c>
    </row>
    <row r="27" spans="1:7" hidden="1">
      <c r="A27" s="246" t="s">
        <v>1628</v>
      </c>
      <c r="B27" s="250" t="s">
        <v>1629</v>
      </c>
      <c r="C27" s="247" t="s">
        <v>1630</v>
      </c>
      <c r="D27" s="263" t="s">
        <v>225</v>
      </c>
      <c r="E27" s="247" t="s">
        <v>1203</v>
      </c>
      <c r="F27" s="247" t="s">
        <v>1204</v>
      </c>
      <c r="G27" s="273"/>
    </row>
    <row r="28" spans="1:7" hidden="1">
      <c r="A28" s="251" t="s">
        <v>1631</v>
      </c>
      <c r="B28" s="250" t="s">
        <v>1632</v>
      </c>
      <c r="C28" s="247" t="s">
        <v>1633</v>
      </c>
      <c r="D28" s="247" t="s">
        <v>253</v>
      </c>
      <c r="E28" s="247" t="s">
        <v>1634</v>
      </c>
      <c r="F28" s="247" t="s">
        <v>1635</v>
      </c>
      <c r="G28" s="273"/>
    </row>
    <row r="29" spans="1:7" hidden="1">
      <c r="A29" s="246" t="s">
        <v>1636</v>
      </c>
      <c r="B29" s="250" t="s">
        <v>1637</v>
      </c>
      <c r="C29" s="247" t="s">
        <v>1638</v>
      </c>
      <c r="D29" s="263" t="s">
        <v>253</v>
      </c>
      <c r="E29" s="247" t="s">
        <v>1205</v>
      </c>
      <c r="F29" s="247" t="s">
        <v>1206</v>
      </c>
      <c r="G29" s="273"/>
    </row>
    <row r="30" spans="1:7" hidden="1">
      <c r="A30" s="246" t="s">
        <v>1639</v>
      </c>
      <c r="B30" s="247" t="s">
        <v>1640</v>
      </c>
      <c r="C30" s="247" t="s">
        <v>1641</v>
      </c>
      <c r="D30" s="247" t="s">
        <v>253</v>
      </c>
      <c r="E30" s="247" t="s">
        <v>1642</v>
      </c>
      <c r="F30" s="247" t="s">
        <v>1643</v>
      </c>
      <c r="G30" s="273"/>
    </row>
    <row r="31" spans="1:7" hidden="1">
      <c r="A31" s="246" t="s">
        <v>1644</v>
      </c>
      <c r="B31" s="250" t="s">
        <v>1645</v>
      </c>
      <c r="C31" s="247" t="s">
        <v>1646</v>
      </c>
      <c r="D31" s="263" t="s">
        <v>1647</v>
      </c>
      <c r="E31" s="247" t="s">
        <v>1207</v>
      </c>
      <c r="F31" s="247" t="s">
        <v>1208</v>
      </c>
      <c r="G31" s="273"/>
    </row>
    <row r="32" spans="1:7" hidden="1">
      <c r="A32" s="246" t="s">
        <v>1648</v>
      </c>
      <c r="B32" s="247" t="s">
        <v>1649</v>
      </c>
      <c r="C32" s="247" t="s">
        <v>1650</v>
      </c>
      <c r="D32" s="247" t="s">
        <v>260</v>
      </c>
      <c r="E32" s="247" t="s">
        <v>1651</v>
      </c>
      <c r="F32" s="247" t="s">
        <v>1652</v>
      </c>
      <c r="G32" s="273"/>
    </row>
    <row r="33" spans="1:7" hidden="1">
      <c r="A33" s="246" t="s">
        <v>1653</v>
      </c>
      <c r="B33" s="247" t="s">
        <v>1654</v>
      </c>
      <c r="C33" s="247" t="s">
        <v>1655</v>
      </c>
      <c r="D33" s="247" t="s">
        <v>260</v>
      </c>
      <c r="E33" s="247" t="s">
        <v>1656</v>
      </c>
      <c r="F33" s="247" t="s">
        <v>1657</v>
      </c>
      <c r="G33" s="273"/>
    </row>
    <row r="34" spans="1:7" hidden="1">
      <c r="A34" s="246" t="s">
        <v>1658</v>
      </c>
      <c r="B34" s="247" t="s">
        <v>1659</v>
      </c>
      <c r="C34" s="247" t="s">
        <v>1660</v>
      </c>
      <c r="D34" s="247" t="s">
        <v>260</v>
      </c>
      <c r="E34" s="247" t="s">
        <v>1661</v>
      </c>
      <c r="F34" s="247" t="s">
        <v>1662</v>
      </c>
      <c r="G34" s="273"/>
    </row>
    <row r="35" spans="1:7" hidden="1">
      <c r="A35" s="246" t="s">
        <v>1663</v>
      </c>
      <c r="B35" s="250" t="s">
        <v>1664</v>
      </c>
      <c r="C35" s="247" t="s">
        <v>1665</v>
      </c>
      <c r="D35" s="263" t="s">
        <v>260</v>
      </c>
      <c r="E35" s="247" t="s">
        <v>1209</v>
      </c>
      <c r="F35" s="247" t="s">
        <v>1210</v>
      </c>
      <c r="G35" s="273"/>
    </row>
    <row r="36" spans="1:7" hidden="1">
      <c r="A36" s="246" t="s">
        <v>1666</v>
      </c>
      <c r="B36" s="250" t="s">
        <v>1667</v>
      </c>
      <c r="C36" s="247" t="s">
        <v>1668</v>
      </c>
      <c r="D36" s="263" t="s">
        <v>260</v>
      </c>
      <c r="E36" s="247" t="s">
        <v>1211</v>
      </c>
      <c r="F36" s="247" t="s">
        <v>1212</v>
      </c>
      <c r="G36" s="273"/>
    </row>
    <row r="37" spans="1:7" hidden="1">
      <c r="A37" s="246" t="s">
        <v>1669</v>
      </c>
      <c r="B37" s="247" t="s">
        <v>1670</v>
      </c>
      <c r="C37" s="247" t="s">
        <v>1671</v>
      </c>
      <c r="D37" s="247" t="s">
        <v>260</v>
      </c>
      <c r="E37" s="247" t="s">
        <v>1672</v>
      </c>
      <c r="F37" s="247" t="s">
        <v>1673</v>
      </c>
      <c r="G37" s="273"/>
    </row>
    <row r="38" spans="1:7" hidden="1">
      <c r="A38" s="246" t="s">
        <v>1674</v>
      </c>
      <c r="B38" s="247" t="s">
        <v>1675</v>
      </c>
      <c r="C38" s="247" t="s">
        <v>1676</v>
      </c>
      <c r="D38" s="247" t="s">
        <v>260</v>
      </c>
      <c r="E38" s="247" t="s">
        <v>1677</v>
      </c>
      <c r="F38" s="247" t="s">
        <v>1678</v>
      </c>
      <c r="G38" s="273"/>
    </row>
    <row r="39" spans="1:7" hidden="1">
      <c r="A39" s="246" t="s">
        <v>1679</v>
      </c>
      <c r="B39" s="247" t="s">
        <v>1680</v>
      </c>
      <c r="C39" s="247" t="s">
        <v>1681</v>
      </c>
      <c r="D39" s="247" t="s">
        <v>1682</v>
      </c>
      <c r="E39" s="247" t="s">
        <v>1683</v>
      </c>
      <c r="F39" s="247" t="s">
        <v>1684</v>
      </c>
      <c r="G39" s="273"/>
    </row>
    <row r="40" spans="1:7" hidden="1">
      <c r="A40" s="246" t="s">
        <v>1685</v>
      </c>
      <c r="B40" s="250" t="s">
        <v>1686</v>
      </c>
      <c r="C40" s="247" t="s">
        <v>1687</v>
      </c>
      <c r="D40" s="263" t="s">
        <v>73</v>
      </c>
      <c r="E40" s="247" t="s">
        <v>1213</v>
      </c>
      <c r="F40" s="264" t="s">
        <v>2236</v>
      </c>
      <c r="G40" s="273" t="s">
        <v>2237</v>
      </c>
    </row>
    <row r="41" spans="1:7" hidden="1">
      <c r="A41" s="246" t="s">
        <v>1688</v>
      </c>
      <c r="B41" s="247" t="s">
        <v>1689</v>
      </c>
      <c r="C41" s="247" t="s">
        <v>1690</v>
      </c>
      <c r="D41" s="247" t="s">
        <v>1691</v>
      </c>
      <c r="E41" s="247" t="s">
        <v>1692</v>
      </c>
      <c r="F41" s="247" t="s">
        <v>1693</v>
      </c>
      <c r="G41" s="273"/>
    </row>
    <row r="42" spans="1:7" hidden="1">
      <c r="A42" s="246"/>
      <c r="B42" s="250" t="s">
        <v>1694</v>
      </c>
      <c r="C42" s="247" t="s">
        <v>1695</v>
      </c>
      <c r="D42" s="247" t="s">
        <v>530</v>
      </c>
      <c r="E42" s="247" t="s">
        <v>1696</v>
      </c>
      <c r="F42" s="247" t="s">
        <v>1697</v>
      </c>
      <c r="G42" s="273"/>
    </row>
    <row r="43" spans="1:7" hidden="1">
      <c r="A43" s="246" t="s">
        <v>1698</v>
      </c>
      <c r="B43" s="252" t="s">
        <v>1699</v>
      </c>
      <c r="C43" s="247" t="s">
        <v>1700</v>
      </c>
      <c r="D43" s="263" t="s">
        <v>530</v>
      </c>
      <c r="E43" s="247" t="s">
        <v>1215</v>
      </c>
      <c r="F43" s="264" t="s">
        <v>2233</v>
      </c>
      <c r="G43" s="273" t="s">
        <v>2234</v>
      </c>
    </row>
    <row r="44" spans="1:7" hidden="1">
      <c r="A44" s="246" t="s">
        <v>1701</v>
      </c>
      <c r="B44" s="250" t="s">
        <v>1702</v>
      </c>
      <c r="C44" s="247" t="s">
        <v>1703</v>
      </c>
      <c r="D44" s="263" t="s">
        <v>576</v>
      </c>
      <c r="E44" s="247" t="s">
        <v>1217</v>
      </c>
      <c r="F44" s="247" t="s">
        <v>1218</v>
      </c>
      <c r="G44" s="272" t="s">
        <v>2240</v>
      </c>
    </row>
    <row r="45" spans="1:7" hidden="1">
      <c r="A45" s="246" t="s">
        <v>1476</v>
      </c>
      <c r="B45" s="250" t="s">
        <v>1704</v>
      </c>
      <c r="C45" s="247" t="s">
        <v>1705</v>
      </c>
      <c r="D45" s="263" t="s">
        <v>50</v>
      </c>
      <c r="E45" s="247" t="s">
        <v>1219</v>
      </c>
      <c r="F45" s="264" t="s">
        <v>1292</v>
      </c>
      <c r="G45" s="273" t="s">
        <v>1293</v>
      </c>
    </row>
    <row r="46" spans="1:7" hidden="1">
      <c r="A46" s="246" t="s">
        <v>1706</v>
      </c>
      <c r="B46" s="250" t="s">
        <v>1707</v>
      </c>
      <c r="C46" s="247" t="s">
        <v>1700</v>
      </c>
      <c r="D46" s="263" t="s">
        <v>1708</v>
      </c>
      <c r="E46" s="247" t="s">
        <v>1709</v>
      </c>
      <c r="F46" s="247" t="s">
        <v>1302</v>
      </c>
      <c r="G46" s="272" t="s">
        <v>2238</v>
      </c>
    </row>
    <row r="47" spans="1:7" hidden="1">
      <c r="A47" s="251" t="s">
        <v>1710</v>
      </c>
      <c r="B47" s="247" t="s">
        <v>1711</v>
      </c>
      <c r="C47" s="247" t="s">
        <v>1712</v>
      </c>
      <c r="D47" s="247" t="s">
        <v>252</v>
      </c>
      <c r="E47" s="247" t="s">
        <v>1713</v>
      </c>
      <c r="F47" s="247" t="s">
        <v>1714</v>
      </c>
      <c r="G47" s="273"/>
    </row>
    <row r="48" spans="1:7" hidden="1">
      <c r="A48" s="246" t="s">
        <v>1715</v>
      </c>
      <c r="B48" s="247" t="s">
        <v>1716</v>
      </c>
      <c r="C48" s="247" t="s">
        <v>1717</v>
      </c>
      <c r="D48" s="247" t="s">
        <v>252</v>
      </c>
      <c r="E48" s="247" t="s">
        <v>1718</v>
      </c>
      <c r="F48" s="247" t="s">
        <v>1719</v>
      </c>
      <c r="G48" s="273"/>
    </row>
    <row r="49" spans="1:7" hidden="1">
      <c r="A49" s="246" t="s">
        <v>1720</v>
      </c>
      <c r="B49" s="247" t="s">
        <v>1721</v>
      </c>
      <c r="C49" s="247" t="s">
        <v>1722</v>
      </c>
      <c r="D49" s="247" t="s">
        <v>252</v>
      </c>
      <c r="E49" s="247" t="s">
        <v>1723</v>
      </c>
      <c r="F49" s="247" t="s">
        <v>1724</v>
      </c>
      <c r="G49" s="273"/>
    </row>
    <row r="50" spans="1:7" hidden="1">
      <c r="A50" s="246" t="s">
        <v>1725</v>
      </c>
      <c r="B50" s="247" t="s">
        <v>1726</v>
      </c>
      <c r="C50" s="247" t="s">
        <v>1727</v>
      </c>
      <c r="D50" s="247" t="s">
        <v>252</v>
      </c>
      <c r="E50" s="247" t="s">
        <v>1728</v>
      </c>
      <c r="F50" s="247" t="s">
        <v>1729</v>
      </c>
      <c r="G50" s="273"/>
    </row>
    <row r="51" spans="1:7" hidden="1">
      <c r="A51" s="246" t="s">
        <v>1730</v>
      </c>
      <c r="B51" s="247" t="s">
        <v>1731</v>
      </c>
      <c r="C51" s="247" t="s">
        <v>1732</v>
      </c>
      <c r="D51" s="247" t="s">
        <v>252</v>
      </c>
      <c r="E51" s="247" t="s">
        <v>1733</v>
      </c>
      <c r="F51" s="247" t="s">
        <v>1734</v>
      </c>
      <c r="G51" s="273"/>
    </row>
    <row r="52" spans="1:7" hidden="1">
      <c r="A52" s="246" t="s">
        <v>1735</v>
      </c>
      <c r="B52" s="250" t="s">
        <v>1454</v>
      </c>
      <c r="C52" s="247" t="s">
        <v>1736</v>
      </c>
      <c r="D52" s="263" t="s">
        <v>252</v>
      </c>
      <c r="E52" s="247" t="s">
        <v>1220</v>
      </c>
      <c r="F52" s="247" t="s">
        <v>1221</v>
      </c>
      <c r="G52" s="273"/>
    </row>
    <row r="53" spans="1:7" hidden="1">
      <c r="A53" s="246" t="s">
        <v>1737</v>
      </c>
      <c r="B53" s="247" t="s">
        <v>1738</v>
      </c>
      <c r="C53" s="247" t="s">
        <v>1739</v>
      </c>
      <c r="D53" s="247" t="s">
        <v>523</v>
      </c>
      <c r="E53" s="247" t="s">
        <v>1740</v>
      </c>
      <c r="F53" s="247" t="s">
        <v>1741</v>
      </c>
      <c r="G53" s="273"/>
    </row>
    <row r="54" spans="1:7" hidden="1">
      <c r="A54" s="246" t="s">
        <v>1742</v>
      </c>
      <c r="B54" s="247" t="s">
        <v>1743</v>
      </c>
      <c r="C54" s="247" t="s">
        <v>1744</v>
      </c>
      <c r="D54" s="263" t="s">
        <v>523</v>
      </c>
      <c r="E54" s="247" t="s">
        <v>1222</v>
      </c>
      <c r="F54" s="247" t="s">
        <v>1223</v>
      </c>
      <c r="G54" s="273"/>
    </row>
    <row r="55" spans="1:7" hidden="1">
      <c r="A55" s="246" t="s">
        <v>1745</v>
      </c>
      <c r="B55" s="247" t="s">
        <v>1746</v>
      </c>
      <c r="C55" s="247" t="s">
        <v>1747</v>
      </c>
      <c r="D55" s="247" t="s">
        <v>272</v>
      </c>
      <c r="E55" s="247" t="s">
        <v>1748</v>
      </c>
      <c r="F55" s="247" t="s">
        <v>1749</v>
      </c>
      <c r="G55" s="273"/>
    </row>
    <row r="56" spans="1:7" hidden="1">
      <c r="A56" s="246" t="s">
        <v>1750</v>
      </c>
      <c r="B56" s="250" t="s">
        <v>1751</v>
      </c>
      <c r="C56" s="247" t="s">
        <v>1752</v>
      </c>
      <c r="D56" s="263" t="s">
        <v>272</v>
      </c>
      <c r="E56" s="247" t="s">
        <v>1301</v>
      </c>
      <c r="F56" s="247" t="s">
        <v>1300</v>
      </c>
      <c r="G56" s="273"/>
    </row>
    <row r="57" spans="1:7" hidden="1">
      <c r="A57" s="246" t="s">
        <v>1753</v>
      </c>
      <c r="B57" s="247" t="s">
        <v>1754</v>
      </c>
      <c r="C57" s="247" t="s">
        <v>1755</v>
      </c>
      <c r="D57" s="247" t="s">
        <v>272</v>
      </c>
      <c r="E57" s="247" t="s">
        <v>1756</v>
      </c>
      <c r="F57" s="247" t="s">
        <v>1757</v>
      </c>
      <c r="G57" s="273"/>
    </row>
    <row r="58" spans="1:7" hidden="1">
      <c r="A58" s="246" t="s">
        <v>1758</v>
      </c>
      <c r="B58" s="247" t="s">
        <v>1759</v>
      </c>
      <c r="C58" s="247" t="s">
        <v>1760</v>
      </c>
      <c r="D58" s="247" t="s">
        <v>272</v>
      </c>
      <c r="E58" s="247" t="s">
        <v>1761</v>
      </c>
      <c r="F58" s="247" t="s">
        <v>1762</v>
      </c>
      <c r="G58" s="273"/>
    </row>
    <row r="59" spans="1:7" hidden="1">
      <c r="A59" s="246" t="s">
        <v>1763</v>
      </c>
      <c r="B59" s="250" t="s">
        <v>1764</v>
      </c>
      <c r="C59" s="247" t="s">
        <v>1765</v>
      </c>
      <c r="D59" s="263" t="s">
        <v>102</v>
      </c>
      <c r="E59" s="247" t="s">
        <v>1224</v>
      </c>
      <c r="F59" s="247" t="s">
        <v>1225</v>
      </c>
      <c r="G59" s="273"/>
    </row>
    <row r="60" spans="1:7" hidden="1">
      <c r="A60" s="251" t="s">
        <v>1766</v>
      </c>
      <c r="B60" s="247" t="s">
        <v>1767</v>
      </c>
      <c r="C60" s="247" t="s">
        <v>1768</v>
      </c>
      <c r="D60" s="247" t="s">
        <v>1769</v>
      </c>
      <c r="E60" s="247" t="s">
        <v>1770</v>
      </c>
      <c r="F60" s="247" t="s">
        <v>1771</v>
      </c>
      <c r="G60" s="273"/>
    </row>
    <row r="61" spans="1:7" hidden="1">
      <c r="A61" s="251" t="s">
        <v>1766</v>
      </c>
      <c r="B61" s="247" t="s">
        <v>1772</v>
      </c>
      <c r="C61" s="247" t="s">
        <v>1768</v>
      </c>
      <c r="D61" s="247" t="s">
        <v>1769</v>
      </c>
      <c r="E61" s="247" t="s">
        <v>1770</v>
      </c>
      <c r="F61" s="247" t="s">
        <v>1771</v>
      </c>
      <c r="G61" s="273"/>
    </row>
    <row r="62" spans="1:7" hidden="1">
      <c r="A62" s="251" t="s">
        <v>1766</v>
      </c>
      <c r="B62" s="247" t="s">
        <v>1773</v>
      </c>
      <c r="C62" s="247" t="s">
        <v>1774</v>
      </c>
      <c r="D62" s="247" t="s">
        <v>1769</v>
      </c>
      <c r="E62" s="247" t="s">
        <v>1770</v>
      </c>
      <c r="F62" s="247" t="s">
        <v>1771</v>
      </c>
      <c r="G62" s="273"/>
    </row>
    <row r="63" spans="1:7" hidden="1">
      <c r="A63" s="246" t="s">
        <v>1775</v>
      </c>
      <c r="B63" s="247" t="s">
        <v>1776</v>
      </c>
      <c r="C63" s="247" t="s">
        <v>1777</v>
      </c>
      <c r="D63" s="247" t="s">
        <v>1769</v>
      </c>
      <c r="E63" s="247" t="s">
        <v>1778</v>
      </c>
      <c r="F63" s="247" t="s">
        <v>1779</v>
      </c>
      <c r="G63" s="273"/>
    </row>
    <row r="64" spans="1:7" hidden="1">
      <c r="A64" s="246" t="s">
        <v>1780</v>
      </c>
      <c r="B64" s="250" t="s">
        <v>1781</v>
      </c>
      <c r="C64" s="247" t="s">
        <v>1782</v>
      </c>
      <c r="D64" s="263" t="s">
        <v>568</v>
      </c>
      <c r="E64" s="247" t="s">
        <v>1226</v>
      </c>
      <c r="F64" s="247" t="s">
        <v>1227</v>
      </c>
      <c r="G64" s="273"/>
    </row>
    <row r="65" spans="1:7" hidden="1">
      <c r="A65" s="246" t="s">
        <v>1783</v>
      </c>
      <c r="B65" s="250" t="s">
        <v>1784</v>
      </c>
      <c r="C65" s="247" t="s">
        <v>1785</v>
      </c>
      <c r="D65" s="263" t="s">
        <v>188</v>
      </c>
      <c r="E65" s="247" t="s">
        <v>1228</v>
      </c>
      <c r="F65" s="247" t="s">
        <v>1229</v>
      </c>
      <c r="G65" s="273"/>
    </row>
    <row r="66" spans="1:7" hidden="1">
      <c r="A66" s="246" t="s">
        <v>1786</v>
      </c>
      <c r="B66" s="250" t="s">
        <v>531</v>
      </c>
      <c r="C66" s="247" t="s">
        <v>1787</v>
      </c>
      <c r="D66" s="263" t="s">
        <v>532</v>
      </c>
      <c r="E66" s="247" t="s">
        <v>1230</v>
      </c>
      <c r="F66" s="247" t="s">
        <v>1231</v>
      </c>
      <c r="G66" s="273"/>
    </row>
    <row r="67" spans="1:7" hidden="1">
      <c r="A67" s="246" t="s">
        <v>1788</v>
      </c>
      <c r="B67" s="247" t="s">
        <v>1789</v>
      </c>
      <c r="C67" s="247" t="s">
        <v>1790</v>
      </c>
      <c r="D67" s="247" t="s">
        <v>532</v>
      </c>
      <c r="E67" s="247" t="s">
        <v>1791</v>
      </c>
      <c r="F67" s="247" t="s">
        <v>1792</v>
      </c>
      <c r="G67" s="273"/>
    </row>
    <row r="68" spans="1:7" hidden="1">
      <c r="A68" s="246" t="s">
        <v>1415</v>
      </c>
      <c r="B68" s="250" t="s">
        <v>1793</v>
      </c>
      <c r="C68" s="247" t="s">
        <v>1794</v>
      </c>
      <c r="D68" s="263" t="s">
        <v>140</v>
      </c>
      <c r="E68" s="247" t="s">
        <v>1232</v>
      </c>
      <c r="F68" s="247" t="s">
        <v>1233</v>
      </c>
      <c r="G68" s="273"/>
    </row>
    <row r="69" spans="1:7" hidden="1">
      <c r="A69" s="246" t="s">
        <v>1795</v>
      </c>
      <c r="B69" s="250" t="s">
        <v>1796</v>
      </c>
      <c r="C69" s="247" t="s">
        <v>1797</v>
      </c>
      <c r="D69" s="263" t="s">
        <v>140</v>
      </c>
      <c r="E69" s="247" t="s">
        <v>1234</v>
      </c>
      <c r="F69" s="247" t="s">
        <v>1235</v>
      </c>
      <c r="G69" s="273"/>
    </row>
    <row r="70" spans="1:7" hidden="1">
      <c r="A70" s="251" t="s">
        <v>1798</v>
      </c>
      <c r="B70" s="250" t="s">
        <v>1799</v>
      </c>
      <c r="C70" s="247" t="s">
        <v>1800</v>
      </c>
      <c r="D70" s="263" t="s">
        <v>140</v>
      </c>
      <c r="E70" s="247" t="s">
        <v>1236</v>
      </c>
      <c r="F70" s="247" t="s">
        <v>1237</v>
      </c>
      <c r="G70" s="273"/>
    </row>
    <row r="71" spans="1:7" hidden="1">
      <c r="A71" s="246" t="s">
        <v>1438</v>
      </c>
      <c r="B71" s="250" t="s">
        <v>1801</v>
      </c>
      <c r="C71" s="247" t="s">
        <v>1802</v>
      </c>
      <c r="D71" s="263" t="s">
        <v>231</v>
      </c>
      <c r="E71" s="247" t="s">
        <v>1238</v>
      </c>
      <c r="F71" s="247" t="s">
        <v>1239</v>
      </c>
      <c r="G71" s="273"/>
    </row>
    <row r="72" spans="1:7" hidden="1">
      <c r="A72" s="246" t="s">
        <v>1803</v>
      </c>
      <c r="B72" s="250" t="s">
        <v>1804</v>
      </c>
      <c r="C72" s="247" t="s">
        <v>1805</v>
      </c>
      <c r="D72" s="263" t="s">
        <v>564</v>
      </c>
      <c r="E72" s="247" t="s">
        <v>1240</v>
      </c>
      <c r="F72" s="247" t="s">
        <v>1241</v>
      </c>
      <c r="G72" s="273"/>
    </row>
    <row r="73" spans="1:7" hidden="1">
      <c r="A73" s="246" t="s">
        <v>1806</v>
      </c>
      <c r="B73" s="250" t="s">
        <v>1807</v>
      </c>
      <c r="C73" s="247" t="s">
        <v>1808</v>
      </c>
      <c r="D73" s="263" t="s">
        <v>258</v>
      </c>
      <c r="E73" s="247" t="s">
        <v>1242</v>
      </c>
      <c r="F73" s="247" t="s">
        <v>1243</v>
      </c>
      <c r="G73" s="273"/>
    </row>
    <row r="74" spans="1:7" hidden="1">
      <c r="A74" s="246" t="s">
        <v>534</v>
      </c>
      <c r="B74" s="250" t="s">
        <v>1809</v>
      </c>
      <c r="C74" s="247" t="s">
        <v>1810</v>
      </c>
      <c r="D74" s="263" t="s">
        <v>535</v>
      </c>
      <c r="E74" s="247" t="s">
        <v>1244</v>
      </c>
      <c r="F74" s="247" t="s">
        <v>1245</v>
      </c>
      <c r="G74" s="273"/>
    </row>
    <row r="75" spans="1:7" hidden="1">
      <c r="A75" s="246" t="s">
        <v>1811</v>
      </c>
      <c r="B75" s="250" t="s">
        <v>1812</v>
      </c>
      <c r="C75" s="247" t="s">
        <v>1813</v>
      </c>
      <c r="D75" s="263" t="s">
        <v>111</v>
      </c>
      <c r="E75" s="247" t="s">
        <v>1246</v>
      </c>
      <c r="F75" s="247" t="s">
        <v>1247</v>
      </c>
      <c r="G75" s="273"/>
    </row>
    <row r="76" spans="1:7" hidden="1">
      <c r="A76" s="246" t="s">
        <v>1814</v>
      </c>
      <c r="B76" s="250" t="s">
        <v>1815</v>
      </c>
      <c r="C76" s="247" t="s">
        <v>1816</v>
      </c>
      <c r="D76" s="263" t="s">
        <v>214</v>
      </c>
      <c r="E76" s="247" t="s">
        <v>1248</v>
      </c>
      <c r="F76" s="247" t="s">
        <v>1249</v>
      </c>
      <c r="G76" s="273"/>
    </row>
    <row r="77" spans="1:7" hidden="1">
      <c r="A77" s="246" t="s">
        <v>1817</v>
      </c>
      <c r="B77" s="250" t="s">
        <v>1818</v>
      </c>
      <c r="C77" s="247" t="s">
        <v>1819</v>
      </c>
      <c r="D77" s="263" t="s">
        <v>143</v>
      </c>
      <c r="E77" s="247" t="s">
        <v>1250</v>
      </c>
      <c r="F77" s="264" t="s">
        <v>1298</v>
      </c>
      <c r="G77" s="273" t="s">
        <v>1299</v>
      </c>
    </row>
    <row r="78" spans="1:7" hidden="1">
      <c r="A78" s="246" t="s">
        <v>1820</v>
      </c>
      <c r="B78" s="247" t="s">
        <v>1821</v>
      </c>
      <c r="C78" s="247" t="s">
        <v>1822</v>
      </c>
      <c r="D78" s="247" t="s">
        <v>143</v>
      </c>
      <c r="E78" s="247" t="s">
        <v>1823</v>
      </c>
      <c r="F78" s="247" t="s">
        <v>1824</v>
      </c>
      <c r="G78" s="273"/>
    </row>
    <row r="79" spans="1:7" hidden="1">
      <c r="A79" s="246" t="s">
        <v>1825</v>
      </c>
      <c r="B79" s="250" t="s">
        <v>1826</v>
      </c>
      <c r="C79" s="247" t="s">
        <v>1827</v>
      </c>
      <c r="D79" s="263" t="s">
        <v>256</v>
      </c>
      <c r="E79" s="247" t="s">
        <v>1251</v>
      </c>
      <c r="F79" s="247" t="s">
        <v>1252</v>
      </c>
      <c r="G79" s="273"/>
    </row>
    <row r="80" spans="1:7" hidden="1">
      <c r="A80" s="246"/>
      <c r="B80" s="248" t="s">
        <v>1455</v>
      </c>
      <c r="C80" s="247" t="s">
        <v>1828</v>
      </c>
      <c r="D80" s="263" t="s">
        <v>256</v>
      </c>
      <c r="E80" s="247" t="s">
        <v>1253</v>
      </c>
      <c r="F80" s="247" t="s">
        <v>1254</v>
      </c>
      <c r="G80" s="273"/>
    </row>
    <row r="81" spans="1:7" hidden="1">
      <c r="A81" s="246" t="s">
        <v>1829</v>
      </c>
      <c r="B81" s="250" t="s">
        <v>1255</v>
      </c>
      <c r="C81" s="247" t="s">
        <v>1830</v>
      </c>
      <c r="D81" s="263" t="s">
        <v>1256</v>
      </c>
      <c r="E81" s="247" t="s">
        <v>1831</v>
      </c>
      <c r="F81" s="264" t="s">
        <v>2235</v>
      </c>
      <c r="G81" s="273"/>
    </row>
    <row r="82" spans="1:7" hidden="1">
      <c r="A82" s="246" t="s">
        <v>1832</v>
      </c>
      <c r="B82" s="253" t="s">
        <v>1833</v>
      </c>
      <c r="C82" s="247" t="s">
        <v>1834</v>
      </c>
      <c r="D82" s="263" t="s">
        <v>108</v>
      </c>
      <c r="E82" s="247" t="s">
        <v>1259</v>
      </c>
      <c r="F82" s="247" t="s">
        <v>1260</v>
      </c>
      <c r="G82" s="273"/>
    </row>
    <row r="83" spans="1:7" hidden="1">
      <c r="A83" s="251" t="s">
        <v>1835</v>
      </c>
      <c r="B83" s="253" t="s">
        <v>1836</v>
      </c>
      <c r="C83" s="247" t="s">
        <v>1837</v>
      </c>
      <c r="D83" s="263" t="s">
        <v>108</v>
      </c>
      <c r="E83" s="247" t="s">
        <v>1261</v>
      </c>
      <c r="F83" s="247" t="s">
        <v>1262</v>
      </c>
      <c r="G83" s="273"/>
    </row>
    <row r="84" spans="1:7" hidden="1">
      <c r="A84" s="246" t="s">
        <v>1838</v>
      </c>
      <c r="B84" s="253" t="s">
        <v>1839</v>
      </c>
      <c r="C84" s="247" t="s">
        <v>1840</v>
      </c>
      <c r="D84" s="263" t="s">
        <v>211</v>
      </c>
      <c r="E84" s="247" t="s">
        <v>1263</v>
      </c>
      <c r="F84" s="247" t="s">
        <v>1264</v>
      </c>
      <c r="G84" s="273"/>
    </row>
    <row r="85" spans="1:7" hidden="1">
      <c r="A85" s="246"/>
      <c r="B85" s="248" t="s">
        <v>1841</v>
      </c>
      <c r="C85" s="247" t="s">
        <v>1842</v>
      </c>
      <c r="D85" s="263" t="s">
        <v>935</v>
      </c>
      <c r="E85" s="247" t="s">
        <v>1265</v>
      </c>
      <c r="F85" s="247" t="s">
        <v>1266</v>
      </c>
      <c r="G85" s="273"/>
    </row>
    <row r="86" spans="1:7" hidden="1">
      <c r="A86" s="246" t="s">
        <v>1843</v>
      </c>
      <c r="B86" s="253" t="s">
        <v>1844</v>
      </c>
      <c r="C86" s="247" t="s">
        <v>1845</v>
      </c>
      <c r="D86" s="263" t="s">
        <v>235</v>
      </c>
      <c r="E86" s="247" t="s">
        <v>1267</v>
      </c>
      <c r="F86" s="264" t="s">
        <v>1296</v>
      </c>
      <c r="G86" s="273" t="s">
        <v>1297</v>
      </c>
    </row>
    <row r="87" spans="1:7" hidden="1">
      <c r="A87" s="246" t="s">
        <v>1846</v>
      </c>
      <c r="B87" s="247" t="s">
        <v>1847</v>
      </c>
      <c r="C87" s="247" t="s">
        <v>1848</v>
      </c>
      <c r="D87" s="247" t="s">
        <v>235</v>
      </c>
      <c r="E87" s="247" t="s">
        <v>1849</v>
      </c>
      <c r="F87" s="247" t="s">
        <v>1850</v>
      </c>
      <c r="G87" s="273"/>
    </row>
    <row r="88" spans="1:7" hidden="1">
      <c r="A88" s="246" t="s">
        <v>1851</v>
      </c>
      <c r="B88" s="247" t="s">
        <v>1852</v>
      </c>
      <c r="C88" s="247" t="s">
        <v>1853</v>
      </c>
      <c r="D88" s="247" t="s">
        <v>51</v>
      </c>
      <c r="E88" s="247" t="s">
        <v>1854</v>
      </c>
      <c r="F88" s="264" t="s">
        <v>2241</v>
      </c>
      <c r="G88" s="273" t="s">
        <v>2242</v>
      </c>
    </row>
    <row r="89" spans="1:7" hidden="1">
      <c r="A89" s="246" t="s">
        <v>1855</v>
      </c>
      <c r="B89" s="247" t="s">
        <v>1856</v>
      </c>
      <c r="C89" s="247" t="s">
        <v>1857</v>
      </c>
      <c r="D89" s="247" t="s">
        <v>51</v>
      </c>
      <c r="E89" s="247" t="s">
        <v>1858</v>
      </c>
      <c r="F89" s="247" t="s">
        <v>1859</v>
      </c>
      <c r="G89" s="273"/>
    </row>
    <row r="90" spans="1:7" hidden="1">
      <c r="A90" s="246" t="s">
        <v>1860</v>
      </c>
      <c r="B90" s="247" t="s">
        <v>1861</v>
      </c>
      <c r="C90" s="247" t="s">
        <v>1862</v>
      </c>
      <c r="D90" s="247" t="s">
        <v>51</v>
      </c>
      <c r="E90" s="247" t="s">
        <v>1863</v>
      </c>
      <c r="F90" s="247" t="s">
        <v>1864</v>
      </c>
      <c r="G90" s="273"/>
    </row>
    <row r="91" spans="1:7" hidden="1">
      <c r="A91" s="246" t="s">
        <v>1865</v>
      </c>
      <c r="B91" s="247" t="s">
        <v>1866</v>
      </c>
      <c r="C91" s="247" t="s">
        <v>1867</v>
      </c>
      <c r="D91" s="247" t="s">
        <v>51</v>
      </c>
      <c r="E91" s="247" t="s">
        <v>1868</v>
      </c>
      <c r="F91" s="264" t="s">
        <v>2243</v>
      </c>
      <c r="G91" s="273" t="s">
        <v>2244</v>
      </c>
    </row>
    <row r="92" spans="1:7" hidden="1">
      <c r="A92" s="246" t="s">
        <v>1869</v>
      </c>
      <c r="B92" s="247" t="s">
        <v>1870</v>
      </c>
      <c r="C92" s="247" t="s">
        <v>1871</v>
      </c>
      <c r="D92" s="247" t="s">
        <v>51</v>
      </c>
      <c r="E92" s="247" t="s">
        <v>1872</v>
      </c>
      <c r="F92" s="247" t="s">
        <v>1873</v>
      </c>
      <c r="G92" s="273"/>
    </row>
    <row r="93" spans="1:7" hidden="1">
      <c r="A93" s="246" t="s">
        <v>1874</v>
      </c>
      <c r="B93" s="247" t="s">
        <v>1875</v>
      </c>
      <c r="C93" s="247" t="s">
        <v>1876</v>
      </c>
      <c r="D93" s="247" t="s">
        <v>51</v>
      </c>
      <c r="E93" s="247" t="s">
        <v>1877</v>
      </c>
      <c r="F93" s="247" t="s">
        <v>1878</v>
      </c>
      <c r="G93" s="273"/>
    </row>
    <row r="94" spans="1:7" hidden="1">
      <c r="A94" s="246" t="s">
        <v>1879</v>
      </c>
      <c r="B94" s="250" t="s">
        <v>1500</v>
      </c>
      <c r="C94" s="247" t="s">
        <v>1880</v>
      </c>
      <c r="D94" s="263" t="s">
        <v>51</v>
      </c>
      <c r="E94" s="247" t="s">
        <v>1268</v>
      </c>
      <c r="F94" s="247" t="s">
        <v>1269</v>
      </c>
      <c r="G94" s="273"/>
    </row>
    <row r="95" spans="1:7" hidden="1">
      <c r="A95" s="251" t="s">
        <v>1881</v>
      </c>
      <c r="B95" s="247" t="s">
        <v>1882</v>
      </c>
      <c r="C95" s="247" t="s">
        <v>1883</v>
      </c>
      <c r="D95" s="247" t="s">
        <v>51</v>
      </c>
      <c r="E95" s="247" t="s">
        <v>1884</v>
      </c>
      <c r="F95" s="247" t="s">
        <v>1885</v>
      </c>
      <c r="G95" s="273"/>
    </row>
    <row r="96" spans="1:7" hidden="1">
      <c r="A96" s="246"/>
      <c r="B96" s="247" t="s">
        <v>1886</v>
      </c>
      <c r="C96" s="247" t="s">
        <v>1887</v>
      </c>
      <c r="D96" s="247" t="s">
        <v>51</v>
      </c>
      <c r="E96" s="247" t="s">
        <v>1888</v>
      </c>
      <c r="F96" s="247" t="s">
        <v>1889</v>
      </c>
      <c r="G96" s="273"/>
    </row>
    <row r="97" spans="1:7" hidden="1">
      <c r="A97" s="246" t="s">
        <v>1890</v>
      </c>
      <c r="B97" s="248" t="s">
        <v>1891</v>
      </c>
      <c r="C97" s="247" t="s">
        <v>1892</v>
      </c>
      <c r="D97" s="263" t="s">
        <v>51</v>
      </c>
      <c r="E97" s="247" t="s">
        <v>1893</v>
      </c>
      <c r="F97" s="264" t="s">
        <v>2245</v>
      </c>
      <c r="G97" s="273" t="s">
        <v>1993</v>
      </c>
    </row>
    <row r="98" spans="1:7" hidden="1">
      <c r="A98" s="246"/>
      <c r="B98" s="249" t="s">
        <v>1894</v>
      </c>
      <c r="C98" s="247" t="s">
        <v>1895</v>
      </c>
      <c r="D98" s="247" t="s">
        <v>51</v>
      </c>
      <c r="E98" s="247"/>
      <c r="F98" s="247" t="s">
        <v>1896</v>
      </c>
      <c r="G98" s="273"/>
    </row>
    <row r="99" spans="1:7" hidden="1">
      <c r="A99" s="246" t="s">
        <v>1897</v>
      </c>
      <c r="B99" s="247" t="s">
        <v>1898</v>
      </c>
      <c r="C99" s="247" t="s">
        <v>1899</v>
      </c>
      <c r="D99" s="247" t="s">
        <v>51</v>
      </c>
      <c r="E99" s="247" t="s">
        <v>1900</v>
      </c>
      <c r="F99" s="247" t="s">
        <v>1901</v>
      </c>
      <c r="G99" s="273"/>
    </row>
    <row r="100" spans="1:7" hidden="1">
      <c r="A100" s="246" t="s">
        <v>1902</v>
      </c>
      <c r="B100" s="247" t="s">
        <v>1903</v>
      </c>
      <c r="C100" s="247" t="s">
        <v>1904</v>
      </c>
      <c r="D100" s="247" t="s">
        <v>51</v>
      </c>
      <c r="E100" s="247" t="s">
        <v>1905</v>
      </c>
      <c r="F100" s="247" t="s">
        <v>1906</v>
      </c>
      <c r="G100" s="273"/>
    </row>
    <row r="101" spans="1:7" hidden="1">
      <c r="A101" s="246"/>
      <c r="B101" s="248" t="s">
        <v>1907</v>
      </c>
      <c r="C101" s="247" t="s">
        <v>1908</v>
      </c>
      <c r="D101" s="247" t="s">
        <v>51</v>
      </c>
      <c r="E101" s="247" t="s">
        <v>1909</v>
      </c>
      <c r="F101" s="247" t="s">
        <v>1910</v>
      </c>
      <c r="G101" s="273"/>
    </row>
    <row r="102" spans="1:7" hidden="1">
      <c r="A102" s="246" t="s">
        <v>1911</v>
      </c>
      <c r="B102" s="250" t="s">
        <v>1912</v>
      </c>
      <c r="C102" s="247" t="s">
        <v>1913</v>
      </c>
      <c r="D102" s="263" t="s">
        <v>174</v>
      </c>
      <c r="E102" s="247" t="s">
        <v>1270</v>
      </c>
      <c r="F102" s="264" t="s">
        <v>1294</v>
      </c>
      <c r="G102" s="273" t="s">
        <v>1295</v>
      </c>
    </row>
    <row r="103" spans="1:7" hidden="1">
      <c r="A103" s="246"/>
      <c r="B103" s="248" t="s">
        <v>1914</v>
      </c>
      <c r="C103" s="247" t="s">
        <v>1915</v>
      </c>
      <c r="D103" s="263" t="s">
        <v>174</v>
      </c>
      <c r="E103" s="247" t="s">
        <v>1271</v>
      </c>
      <c r="F103" s="247" t="s">
        <v>1272</v>
      </c>
      <c r="G103" s="273"/>
    </row>
    <row r="104" spans="1:7" hidden="1">
      <c r="A104" s="246" t="s">
        <v>1916</v>
      </c>
      <c r="B104" s="247" t="s">
        <v>1917</v>
      </c>
      <c r="C104" s="247" t="s">
        <v>1918</v>
      </c>
      <c r="D104" s="247" t="s">
        <v>277</v>
      </c>
      <c r="E104" s="247" t="s">
        <v>1919</v>
      </c>
      <c r="F104" s="247" t="s">
        <v>1920</v>
      </c>
      <c r="G104" s="273"/>
    </row>
    <row r="105" spans="1:7" hidden="1">
      <c r="A105" s="246" t="s">
        <v>1921</v>
      </c>
      <c r="B105" s="250" t="s">
        <v>1922</v>
      </c>
      <c r="C105" s="247" t="s">
        <v>1923</v>
      </c>
      <c r="D105" s="263" t="s">
        <v>277</v>
      </c>
      <c r="E105" s="247" t="s">
        <v>1273</v>
      </c>
      <c r="F105" s="247" t="s">
        <v>1274</v>
      </c>
      <c r="G105" s="272" t="s">
        <v>2227</v>
      </c>
    </row>
    <row r="106" spans="1:7" hidden="1">
      <c r="A106" s="246" t="s">
        <v>1924</v>
      </c>
      <c r="B106" s="250" t="s">
        <v>1925</v>
      </c>
      <c r="C106" s="247" t="s">
        <v>1926</v>
      </c>
      <c r="D106" s="263" t="s">
        <v>49</v>
      </c>
      <c r="E106" s="247" t="s">
        <v>1275</v>
      </c>
      <c r="F106" s="247" t="s">
        <v>1276</v>
      </c>
      <c r="G106" s="273"/>
    </row>
    <row r="107" spans="1:7" hidden="1">
      <c r="A107" s="246" t="s">
        <v>1927</v>
      </c>
      <c r="B107" s="250" t="s">
        <v>1928</v>
      </c>
      <c r="C107" s="247" t="s">
        <v>1929</v>
      </c>
      <c r="D107" s="263" t="s">
        <v>1165</v>
      </c>
      <c r="E107" s="247" t="s">
        <v>1277</v>
      </c>
      <c r="F107" s="247" t="s">
        <v>1278</v>
      </c>
      <c r="G107" s="272" t="s">
        <v>2076</v>
      </c>
    </row>
    <row r="108" spans="1:7" hidden="1">
      <c r="A108" s="246" t="s">
        <v>1930</v>
      </c>
      <c r="B108" s="250" t="s">
        <v>1931</v>
      </c>
      <c r="C108" s="247" t="s">
        <v>1932</v>
      </c>
      <c r="D108" s="263" t="s">
        <v>1165</v>
      </c>
      <c r="E108" s="247" t="s">
        <v>1279</v>
      </c>
      <c r="F108" s="247" t="s">
        <v>1280</v>
      </c>
      <c r="G108" s="273"/>
    </row>
    <row r="109" spans="1:7" hidden="1">
      <c r="A109" s="246" t="s">
        <v>1933</v>
      </c>
      <c r="B109" s="250" t="s">
        <v>1934</v>
      </c>
      <c r="C109" s="247" t="s">
        <v>1935</v>
      </c>
      <c r="D109" s="263" t="s">
        <v>285</v>
      </c>
      <c r="E109" s="247" t="s">
        <v>1281</v>
      </c>
      <c r="F109" s="247" t="s">
        <v>1282</v>
      </c>
      <c r="G109" s="273"/>
    </row>
    <row r="110" spans="1:7" hidden="1">
      <c r="A110" s="246" t="s">
        <v>1936</v>
      </c>
      <c r="B110" s="250" t="s">
        <v>1937</v>
      </c>
      <c r="C110" s="247" t="s">
        <v>1938</v>
      </c>
      <c r="D110" s="263" t="s">
        <v>265</v>
      </c>
      <c r="E110" s="247" t="s">
        <v>1283</v>
      </c>
      <c r="F110" s="247" t="s">
        <v>1284</v>
      </c>
      <c r="G110" s="273"/>
    </row>
    <row r="111" spans="1:7" hidden="1">
      <c r="A111" s="265" t="s">
        <v>264</v>
      </c>
      <c r="B111" s="266" t="s">
        <v>1939</v>
      </c>
      <c r="C111" s="266" t="s">
        <v>1940</v>
      </c>
      <c r="D111" s="267" t="s">
        <v>265</v>
      </c>
      <c r="E111" s="266" t="s">
        <v>1941</v>
      </c>
      <c r="F111" s="266" t="s">
        <v>1942</v>
      </c>
      <c r="G111" s="273"/>
    </row>
    <row r="112" spans="1:7" hidden="1">
      <c r="A112" s="268" t="s">
        <v>2224</v>
      </c>
      <c r="B112" s="269" t="s">
        <v>2228</v>
      </c>
      <c r="C112" s="270" t="s">
        <v>2225</v>
      </c>
      <c r="D112" s="271" t="s">
        <v>2082</v>
      </c>
      <c r="E112" s="270" t="s">
        <v>2226</v>
      </c>
      <c r="F112" s="272" t="s">
        <v>2087</v>
      </c>
      <c r="G112" s="273"/>
    </row>
    <row r="113" spans="1:7" hidden="1">
      <c r="A113" s="268" t="s">
        <v>2229</v>
      </c>
      <c r="B113" s="269" t="s">
        <v>2230</v>
      </c>
      <c r="C113" s="270" t="s">
        <v>2231</v>
      </c>
      <c r="D113" s="271" t="s">
        <v>2101</v>
      </c>
      <c r="E113" s="270" t="s">
        <v>2232</v>
      </c>
      <c r="F113" s="272" t="s">
        <v>2106</v>
      </c>
      <c r="G113" s="273"/>
    </row>
  </sheetData>
  <sheetProtection algorithmName="SHA-512" hashValue="1s6S7lIuv1wxBckdFEVn+aJU+8aaByxiIjrF8rXZP0xtlu04T9sLJJrfoMpfTzRclJ4j4QgIkx9GuvNexI2tOA==" saltValue="7XT9sA8N6olmA9MJPvPVpw==" spinCount="100000" sheet="1" objects="1" scenarios="1"/>
  <autoFilter ref="A1:F113"/>
  <hyperlinks>
    <hyperlink ref="F81" r:id="rId1"/>
    <hyperlink ref="F112" r:id="rId2"/>
    <hyperlink ref="G105" r:id="rId3"/>
    <hyperlink ref="F113" r:id="rId4"/>
    <hyperlink ref="F43" r:id="rId5"/>
    <hyperlink ref="F45" r:id="rId6"/>
    <hyperlink ref="G107" r:id="rId7"/>
    <hyperlink ref="F40" r:id="rId8"/>
    <hyperlink ref="F86" r:id="rId9"/>
    <hyperlink ref="F77" r:id="rId10"/>
    <hyperlink ref="G46" r:id="rId11"/>
    <hyperlink ref="G20" r:id="rId12"/>
    <hyperlink ref="G44" r:id="rId13"/>
    <hyperlink ref="F102" r:id="rId14"/>
    <hyperlink ref="F3" r:id="rId15"/>
    <hyperlink ref="F26" r:id="rId16"/>
    <hyperlink ref="F88" r:id="rId17"/>
    <hyperlink ref="F91" r:id="rId18"/>
    <hyperlink ref="F97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 stopień 20_21</vt:lpstr>
      <vt:lpstr>2 stopień 20_21</vt:lpstr>
      <vt:lpstr>3 stopień 20_21</vt:lpstr>
      <vt:lpstr>zestawienie_1</vt:lpstr>
      <vt:lpstr>zestawienie_2</vt:lpstr>
      <vt:lpstr>zestawienie_3</vt:lpstr>
      <vt:lpstr>Dane BSI</vt:lpstr>
      <vt:lpstr>BS_1_dziedzinowe</vt:lpstr>
      <vt:lpstr>BS_1 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Krzywda</dc:creator>
  <cp:lastModifiedBy>pkrzywda</cp:lastModifiedBy>
  <cp:lastPrinted>2020-09-28T09:04:50Z</cp:lastPrinted>
  <dcterms:created xsi:type="dcterms:W3CDTF">2020-01-08T12:02:44Z</dcterms:created>
  <dcterms:modified xsi:type="dcterms:W3CDTF">2020-12-04T02:57:02Z</dcterms:modified>
</cp:coreProperties>
</file>